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mc:AlternateContent xmlns:mc="http://schemas.openxmlformats.org/markup-compatibility/2006">
    <mc:Choice Requires="x15">
      <x15ac:absPath xmlns:x15ac="http://schemas.microsoft.com/office/spreadsheetml/2010/11/ac" url="C:\Users\Usuario\Desktop\Nov 04\Documentos Finales - PROTEGIDOS\"/>
    </mc:Choice>
  </mc:AlternateContent>
  <xr:revisionPtr revIDLastSave="0" documentId="8_{B03C0D7B-8BE5-44D0-8FAB-A644D27A139D}" xr6:coauthVersionLast="47" xr6:coauthVersionMax="47" xr10:uidLastSave="{00000000-0000-0000-0000-000000000000}"/>
  <bookViews>
    <workbookView xWindow="0" yWindow="735" windowWidth="25605" windowHeight="14145" tabRatio="939" xr2:uid="{00000000-000D-0000-FFFF-FFFF00000000}"/>
  </bookViews>
  <sheets>
    <sheet name="PLAN DE INVERSIONES" sheetId="49" r:id="rId1"/>
    <sheet name="COSTOS DETALLADOS" sheetId="50" r:id="rId2"/>
    <sheet name="EXCELENCIA ACADÉMICA" sheetId="47" r:id="rId3"/>
    <sheet name="CIENCIA E INVESTIGACIÓN" sheetId="19" r:id="rId4"/>
    <sheet name="EXTENSIÓN Y GESTIÓN SOCIAL" sheetId="20" r:id="rId5"/>
    <sheet name="ASEGURAMIENTO CALIDAD EDUCACIÓN" sheetId="22" r:id="rId6"/>
    <sheet name="INNOVACION Y PRODUCTIVIDAD " sheetId="2" r:id="rId7"/>
    <sheet name="EMPRENDIMIENTO, CREATIVIDAD " sheetId="17" r:id="rId8"/>
    <sheet name="INTERNACIONALIZACION" sheetId="26" r:id="rId9"/>
    <sheet name="COMUNIDAD Y CULTURA INSTITUCION" sheetId="21" r:id="rId10"/>
    <sheet name="DIVERSIDAD E INCLUSIÓN" sheetId="23" r:id="rId11"/>
    <sheet name="GOBERNABILIDAD Y GOBERNABILIDAD" sheetId="46" r:id="rId12"/>
    <sheet name="DESARROLLOGESTIÓNSOSTENIBILIDAD" sheetId="24" r:id="rId13"/>
    <sheet name="GESTIÓN INTEGRAL INSTITUCIONAL" sheetId="25" r:id="rId14"/>
    <sheet name="Hoja2" sheetId="48" state="hidden" r:id="rId15"/>
  </sheets>
  <calcPr calcId="191028"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26" i="26" l="1"/>
  <c r="U26" i="26"/>
  <c r="V26" i="26"/>
  <c r="W26" i="26"/>
  <c r="X26" i="26"/>
  <c r="Y26" i="26"/>
  <c r="T27" i="26"/>
  <c r="S8" i="20"/>
  <c r="G114" i="50"/>
  <c r="D14" i="49" s="1"/>
  <c r="H114" i="50"/>
  <c r="E14" i="49" s="1"/>
  <c r="I114" i="50"/>
  <c r="F14" i="49" s="1"/>
  <c r="L114" i="50"/>
  <c r="I14" i="49" s="1"/>
  <c r="M114" i="50"/>
  <c r="J14" i="49" s="1"/>
  <c r="N114" i="50"/>
  <c r="K14" i="49" s="1"/>
  <c r="F66" i="50"/>
  <c r="C7" i="49" s="1"/>
  <c r="T24" i="26"/>
  <c r="U24" i="26"/>
  <c r="V24" i="26"/>
  <c r="W24" i="26"/>
  <c r="X24" i="26"/>
  <c r="Y24" i="26"/>
  <c r="S24" i="26"/>
  <c r="T23" i="26"/>
  <c r="U23" i="26"/>
  <c r="V23" i="26"/>
  <c r="W23" i="26"/>
  <c r="X23" i="26"/>
  <c r="Y23" i="26"/>
  <c r="S23" i="26"/>
  <c r="H171" i="50"/>
  <c r="E19" i="49" s="1"/>
  <c r="I171" i="50"/>
  <c r="F19" i="49" s="1"/>
  <c r="J171" i="50"/>
  <c r="G19" i="49" s="1"/>
  <c r="S6" i="25"/>
  <c r="R2" i="25"/>
  <c r="T6" i="25"/>
  <c r="U6" i="25"/>
  <c r="V6" i="25"/>
  <c r="W6" i="25"/>
  <c r="X6" i="25"/>
  <c r="Y6" i="25"/>
  <c r="Z6" i="25"/>
  <c r="S7" i="25"/>
  <c r="T7" i="25"/>
  <c r="U7" i="25"/>
  <c r="V7" i="25"/>
  <c r="W7" i="25"/>
  <c r="X7" i="25"/>
  <c r="Y7" i="25"/>
  <c r="Z7" i="25"/>
  <c r="AA6" i="25"/>
  <c r="C174" i="50"/>
  <c r="K174" i="50"/>
  <c r="S8" i="25"/>
  <c r="T8" i="25"/>
  <c r="U8" i="25"/>
  <c r="V8" i="25"/>
  <c r="W8" i="25"/>
  <c r="X8" i="25"/>
  <c r="Y8" i="25"/>
  <c r="Z8" i="25"/>
  <c r="S9" i="25"/>
  <c r="T9" i="25"/>
  <c r="U9" i="25"/>
  <c r="V9" i="25"/>
  <c r="W9" i="25"/>
  <c r="X9" i="25"/>
  <c r="Y9" i="25"/>
  <c r="Z9" i="25"/>
  <c r="S10" i="25"/>
  <c r="T10" i="25"/>
  <c r="U10" i="25"/>
  <c r="V10" i="25"/>
  <c r="W10" i="25"/>
  <c r="X10" i="25"/>
  <c r="Y10" i="25"/>
  <c r="Z10" i="25"/>
  <c r="AA8" i="25"/>
  <c r="C176" i="50"/>
  <c r="K176" i="50"/>
  <c r="S11" i="25"/>
  <c r="T11" i="25"/>
  <c r="U11" i="25"/>
  <c r="V11" i="25"/>
  <c r="W11" i="25"/>
  <c r="X11" i="25"/>
  <c r="Y11" i="25"/>
  <c r="Z11" i="25"/>
  <c r="S12" i="25"/>
  <c r="T12" i="25"/>
  <c r="U12" i="25"/>
  <c r="V12" i="25"/>
  <c r="W12" i="25"/>
  <c r="X12" i="25"/>
  <c r="Y12" i="25"/>
  <c r="Z12" i="25"/>
  <c r="S13" i="25"/>
  <c r="T13" i="25"/>
  <c r="U13" i="25"/>
  <c r="V13" i="25"/>
  <c r="W13" i="25"/>
  <c r="X13" i="25"/>
  <c r="Y13" i="25"/>
  <c r="Z13" i="25"/>
  <c r="AA11" i="25"/>
  <c r="C177" i="50"/>
  <c r="K177" i="50"/>
  <c r="S14" i="25"/>
  <c r="T14" i="25"/>
  <c r="U14" i="25"/>
  <c r="V14" i="25"/>
  <c r="W14" i="25"/>
  <c r="X14" i="25"/>
  <c r="Y14" i="25"/>
  <c r="Z14" i="25"/>
  <c r="S15" i="25"/>
  <c r="T15" i="25"/>
  <c r="U15" i="25"/>
  <c r="V15" i="25"/>
  <c r="W15" i="25"/>
  <c r="X15" i="25"/>
  <c r="Y15" i="25"/>
  <c r="Z15" i="25"/>
  <c r="S16" i="25"/>
  <c r="Q16" i="25"/>
  <c r="T16" i="25"/>
  <c r="U16" i="25"/>
  <c r="V16" i="25"/>
  <c r="W16" i="25"/>
  <c r="X16" i="25"/>
  <c r="Y16" i="25"/>
  <c r="Z16" i="25"/>
  <c r="S17" i="25"/>
  <c r="T17" i="25"/>
  <c r="U17" i="25"/>
  <c r="V17" i="25"/>
  <c r="W17" i="25"/>
  <c r="X17" i="25"/>
  <c r="Y17" i="25"/>
  <c r="Z17" i="25"/>
  <c r="AA14" i="25"/>
  <c r="C178" i="50"/>
  <c r="K178" i="50"/>
  <c r="S18" i="25"/>
  <c r="T18" i="25"/>
  <c r="U18" i="25"/>
  <c r="V18" i="25"/>
  <c r="W18" i="25"/>
  <c r="X18" i="25"/>
  <c r="Y18" i="25"/>
  <c r="Z18" i="25"/>
  <c r="S19" i="25"/>
  <c r="T19" i="25"/>
  <c r="U19" i="25"/>
  <c r="V19" i="25"/>
  <c r="W19" i="25"/>
  <c r="X19" i="25"/>
  <c r="Y19" i="25"/>
  <c r="Z19" i="25"/>
  <c r="AA18" i="25"/>
  <c r="C179" i="50"/>
  <c r="K179" i="50"/>
  <c r="S20" i="25"/>
  <c r="T20" i="25"/>
  <c r="U20" i="25"/>
  <c r="V20" i="25"/>
  <c r="W20" i="25"/>
  <c r="X20" i="25"/>
  <c r="Y20" i="25"/>
  <c r="Z20" i="25"/>
  <c r="S21" i="25"/>
  <c r="T21" i="25"/>
  <c r="U21" i="25"/>
  <c r="V21" i="25"/>
  <c r="W21" i="25"/>
  <c r="X21" i="25"/>
  <c r="Y21" i="25"/>
  <c r="Z21" i="25"/>
  <c r="AA20" i="25"/>
  <c r="C180" i="50"/>
  <c r="K180" i="50"/>
  <c r="S23" i="25"/>
  <c r="T23" i="25"/>
  <c r="U23" i="25"/>
  <c r="V23" i="25"/>
  <c r="W23" i="25"/>
  <c r="X23" i="25"/>
  <c r="Y23" i="25"/>
  <c r="Z23" i="25"/>
  <c r="S24" i="25"/>
  <c r="T24" i="25"/>
  <c r="U24" i="25"/>
  <c r="V24" i="25"/>
  <c r="W24" i="25"/>
  <c r="X24" i="25"/>
  <c r="Y24" i="25"/>
  <c r="Z24" i="25"/>
  <c r="S25" i="25"/>
  <c r="T25" i="25"/>
  <c r="U25" i="25"/>
  <c r="V25" i="25"/>
  <c r="W25" i="25"/>
  <c r="X25" i="25"/>
  <c r="Y25" i="25"/>
  <c r="Z25" i="25"/>
  <c r="AA23" i="25"/>
  <c r="C183" i="50"/>
  <c r="K183" i="50"/>
  <c r="S26" i="25"/>
  <c r="T26" i="25"/>
  <c r="U26" i="25"/>
  <c r="V26" i="25"/>
  <c r="W26" i="25"/>
  <c r="X26" i="25"/>
  <c r="Y26" i="25"/>
  <c r="Z26" i="25"/>
  <c r="AA26" i="25"/>
  <c r="C185" i="50"/>
  <c r="K185" i="50"/>
  <c r="K171" i="50"/>
  <c r="H19" i="49" s="1"/>
  <c r="L171" i="50"/>
  <c r="I19" i="49" s="1"/>
  <c r="M171" i="50"/>
  <c r="J19" i="49" s="1"/>
  <c r="N171" i="50"/>
  <c r="K19" i="49" s="1"/>
  <c r="O171" i="50"/>
  <c r="L19" i="49" s="1"/>
  <c r="P171" i="50"/>
  <c r="M19" i="49" s="1"/>
  <c r="Q171" i="50"/>
  <c r="N19" i="49" s="1"/>
  <c r="H162" i="50"/>
  <c r="E18" i="49" s="1"/>
  <c r="I162" i="50"/>
  <c r="F18" i="49" s="1"/>
  <c r="J162" i="50"/>
  <c r="G18" i="49" s="1"/>
  <c r="L162" i="50"/>
  <c r="I18" i="49" s="1"/>
  <c r="M162" i="50"/>
  <c r="J18" i="49" s="1"/>
  <c r="N162" i="50"/>
  <c r="K18" i="49" s="1"/>
  <c r="O162" i="50"/>
  <c r="L18" i="49" s="1"/>
  <c r="P162" i="50"/>
  <c r="M18" i="49" s="1"/>
  <c r="G162" i="50"/>
  <c r="D18" i="49" s="1"/>
  <c r="H143" i="50"/>
  <c r="E17" i="49" s="1"/>
  <c r="I143" i="50"/>
  <c r="F17" i="49" s="1"/>
  <c r="L143" i="50"/>
  <c r="I17" i="49" s="1"/>
  <c r="M143" i="50"/>
  <c r="J17" i="49" s="1"/>
  <c r="N143" i="50"/>
  <c r="K17" i="49" s="1"/>
  <c r="O143" i="50"/>
  <c r="L17" i="49" s="1"/>
  <c r="P143" i="50"/>
  <c r="M17" i="49" s="1"/>
  <c r="S9" i="46"/>
  <c r="H132" i="50"/>
  <c r="E15" i="49" s="1"/>
  <c r="I132" i="50"/>
  <c r="F15" i="49" s="1"/>
  <c r="J132" i="50"/>
  <c r="G15" i="49" s="1"/>
  <c r="L132" i="50"/>
  <c r="I15" i="49" s="1"/>
  <c r="M132" i="50"/>
  <c r="J15" i="49" s="1"/>
  <c r="O132" i="50"/>
  <c r="L15" i="49" s="1"/>
  <c r="P132" i="50"/>
  <c r="M15" i="49" s="1"/>
  <c r="S6" i="21"/>
  <c r="R2" i="21"/>
  <c r="T6" i="21"/>
  <c r="U6" i="21"/>
  <c r="V6" i="21"/>
  <c r="W6" i="21"/>
  <c r="X6" i="21"/>
  <c r="Y6" i="21"/>
  <c r="Z6" i="21"/>
  <c r="AA6" i="21"/>
  <c r="C117" i="50"/>
  <c r="J117" i="50"/>
  <c r="S7" i="21"/>
  <c r="T7" i="21"/>
  <c r="U7" i="21"/>
  <c r="V7" i="21"/>
  <c r="W7" i="21"/>
  <c r="X7" i="21"/>
  <c r="Y7" i="21"/>
  <c r="Z7" i="21"/>
  <c r="AA7" i="21"/>
  <c r="C119" i="50"/>
  <c r="J119" i="50"/>
  <c r="S8" i="21"/>
  <c r="T8" i="21"/>
  <c r="U8" i="21"/>
  <c r="V8" i="21"/>
  <c r="W8" i="21"/>
  <c r="X8" i="21"/>
  <c r="Y8" i="21"/>
  <c r="Z8" i="21"/>
  <c r="AA8" i="21"/>
  <c r="C120" i="50"/>
  <c r="J120" i="50"/>
  <c r="S9" i="21"/>
  <c r="T9" i="21"/>
  <c r="U9" i="21"/>
  <c r="V9" i="21"/>
  <c r="W9" i="21"/>
  <c r="X9" i="21"/>
  <c r="Y9" i="21"/>
  <c r="Z9" i="21"/>
  <c r="S10" i="21"/>
  <c r="T10" i="21"/>
  <c r="U10" i="21"/>
  <c r="V10" i="21"/>
  <c r="W10" i="21"/>
  <c r="X10" i="21"/>
  <c r="Y10" i="21"/>
  <c r="Z10" i="21"/>
  <c r="AA9" i="21"/>
  <c r="C122" i="50"/>
  <c r="J122" i="50"/>
  <c r="S11" i="21"/>
  <c r="T11" i="21"/>
  <c r="U11" i="21"/>
  <c r="V11" i="21"/>
  <c r="W11" i="21"/>
  <c r="X11" i="21"/>
  <c r="Y11" i="21"/>
  <c r="Z11" i="21"/>
  <c r="AA11" i="21"/>
  <c r="C123" i="50"/>
  <c r="J123" i="50"/>
  <c r="S13" i="21"/>
  <c r="T13" i="21"/>
  <c r="U13" i="21"/>
  <c r="V13" i="21"/>
  <c r="W13" i="21"/>
  <c r="X13" i="21"/>
  <c r="Y13" i="21"/>
  <c r="Z13" i="21"/>
  <c r="AA13" i="21"/>
  <c r="C126" i="50"/>
  <c r="J126" i="50"/>
  <c r="S14" i="21"/>
  <c r="T14" i="21"/>
  <c r="U14" i="21"/>
  <c r="V14" i="21"/>
  <c r="W14" i="21"/>
  <c r="X14" i="21"/>
  <c r="Y14" i="21"/>
  <c r="Z14" i="21"/>
  <c r="S15" i="21"/>
  <c r="T15" i="21"/>
  <c r="U15" i="21"/>
  <c r="V15" i="21"/>
  <c r="W15" i="21"/>
  <c r="X15" i="21"/>
  <c r="Y15" i="21"/>
  <c r="Z15" i="21"/>
  <c r="AA14" i="21"/>
  <c r="C127" i="50"/>
  <c r="J127" i="50"/>
  <c r="S25" i="21"/>
  <c r="T25" i="21"/>
  <c r="U25" i="21"/>
  <c r="V25" i="21"/>
  <c r="W25" i="21"/>
  <c r="X25" i="21"/>
  <c r="Y25" i="21"/>
  <c r="Z25" i="21"/>
  <c r="S26" i="21"/>
  <c r="T26" i="21"/>
  <c r="U26" i="21"/>
  <c r="V26" i="21"/>
  <c r="W26" i="21"/>
  <c r="X26" i="21"/>
  <c r="Y26" i="21"/>
  <c r="Z26" i="21"/>
  <c r="AA25" i="21"/>
  <c r="C130" i="50"/>
  <c r="K130" i="50"/>
  <c r="K114" i="50" s="1"/>
  <c r="H14" i="49" s="1"/>
  <c r="O122" i="50"/>
  <c r="S16" i="21"/>
  <c r="T16" i="21"/>
  <c r="U16" i="21"/>
  <c r="V16" i="21"/>
  <c r="W16" i="21"/>
  <c r="X16" i="21"/>
  <c r="Y16" i="21"/>
  <c r="Z16" i="21"/>
  <c r="S17" i="21"/>
  <c r="T17" i="21"/>
  <c r="U17" i="21"/>
  <c r="V17" i="21"/>
  <c r="W17" i="21"/>
  <c r="X17" i="21"/>
  <c r="Y17" i="21"/>
  <c r="Z17" i="21"/>
  <c r="S18" i="21"/>
  <c r="T18" i="21"/>
  <c r="U18" i="21"/>
  <c r="V18" i="21"/>
  <c r="W18" i="21"/>
  <c r="X18" i="21"/>
  <c r="Y18" i="21"/>
  <c r="Z18" i="21"/>
  <c r="S19" i="21"/>
  <c r="T19" i="21"/>
  <c r="U19" i="21"/>
  <c r="V19" i="21"/>
  <c r="W19" i="21"/>
  <c r="X19" i="21"/>
  <c r="Y19" i="21"/>
  <c r="Z19" i="21"/>
  <c r="S20" i="21"/>
  <c r="T20" i="21"/>
  <c r="U20" i="21"/>
  <c r="V20" i="21"/>
  <c r="W20" i="21"/>
  <c r="X20" i="21"/>
  <c r="Y20" i="21"/>
  <c r="Z20" i="21"/>
  <c r="S21" i="21"/>
  <c r="T21" i="21"/>
  <c r="U21" i="21"/>
  <c r="V21" i="21"/>
  <c r="W21" i="21"/>
  <c r="X21" i="21"/>
  <c r="Y21" i="21"/>
  <c r="Z21" i="21"/>
  <c r="S22" i="21"/>
  <c r="T22" i="21"/>
  <c r="U22" i="21"/>
  <c r="V22" i="21"/>
  <c r="W22" i="21"/>
  <c r="X22" i="21"/>
  <c r="Y22" i="21"/>
  <c r="Z22" i="21"/>
  <c r="S23" i="21"/>
  <c r="T23" i="21"/>
  <c r="U23" i="21"/>
  <c r="V23" i="21"/>
  <c r="W23" i="21"/>
  <c r="X23" i="21"/>
  <c r="Y23" i="21"/>
  <c r="Z23" i="21"/>
  <c r="S24" i="21"/>
  <c r="T24" i="21"/>
  <c r="U24" i="21"/>
  <c r="V24" i="21"/>
  <c r="W24" i="21"/>
  <c r="X24" i="21"/>
  <c r="Y24" i="21"/>
  <c r="Z24" i="21"/>
  <c r="AA16" i="21"/>
  <c r="C129" i="50"/>
  <c r="O129" i="50"/>
  <c r="P126" i="50"/>
  <c r="P114" i="50" s="1"/>
  <c r="M14" i="49" s="1"/>
  <c r="S5" i="21"/>
  <c r="T5" i="21"/>
  <c r="U5" i="21"/>
  <c r="V5" i="21"/>
  <c r="W5" i="21"/>
  <c r="X5" i="21"/>
  <c r="Y5" i="21"/>
  <c r="Z5" i="21"/>
  <c r="AA5" i="21"/>
  <c r="C116" i="50"/>
  <c r="Q116" i="50"/>
  <c r="S12" i="21"/>
  <c r="T12" i="21"/>
  <c r="U12" i="21"/>
  <c r="V12" i="21"/>
  <c r="W12" i="21"/>
  <c r="X12" i="21"/>
  <c r="Y12" i="21"/>
  <c r="Z12" i="21"/>
  <c r="AA12" i="21"/>
  <c r="C124" i="50"/>
  <c r="Q124" i="50"/>
  <c r="S27" i="21"/>
  <c r="T27" i="21"/>
  <c r="U27" i="21"/>
  <c r="V27" i="21"/>
  <c r="W27" i="21"/>
  <c r="X27" i="21"/>
  <c r="Y27" i="21"/>
  <c r="Z27" i="21"/>
  <c r="AA27" i="21"/>
  <c r="C131" i="50"/>
  <c r="Q131" i="50"/>
  <c r="H103" i="50"/>
  <c r="E12" i="49" s="1"/>
  <c r="I103" i="50"/>
  <c r="F12" i="49" s="1"/>
  <c r="J103" i="50"/>
  <c r="G12" i="49" s="1"/>
  <c r="S27" i="26"/>
  <c r="R2" i="26"/>
  <c r="S28" i="26"/>
  <c r="T28" i="26"/>
  <c r="U28" i="26"/>
  <c r="V28" i="26"/>
  <c r="W28" i="26"/>
  <c r="X28" i="26"/>
  <c r="Y28" i="26"/>
  <c r="Z28" i="26"/>
  <c r="AA28" i="26"/>
  <c r="C112" i="50"/>
  <c r="K112" i="50"/>
  <c r="L103" i="50"/>
  <c r="I12" i="49" s="1"/>
  <c r="M103" i="50"/>
  <c r="J12" i="49" s="1"/>
  <c r="N103" i="50"/>
  <c r="K12" i="49" s="1"/>
  <c r="O103" i="50"/>
  <c r="L12" i="49" s="1"/>
  <c r="S10" i="26"/>
  <c r="T10" i="26"/>
  <c r="U10" i="26"/>
  <c r="V10" i="26"/>
  <c r="W10" i="26"/>
  <c r="X10" i="26"/>
  <c r="Y10" i="26"/>
  <c r="Z10" i="26"/>
  <c r="S11" i="26"/>
  <c r="T11" i="26"/>
  <c r="U11" i="26"/>
  <c r="V11" i="26"/>
  <c r="W11" i="26"/>
  <c r="X11" i="26"/>
  <c r="Y11" i="26"/>
  <c r="Z11" i="26"/>
  <c r="S12" i="26"/>
  <c r="T12" i="26"/>
  <c r="U12" i="26"/>
  <c r="V12" i="26"/>
  <c r="W12" i="26"/>
  <c r="X12" i="26"/>
  <c r="Y12" i="26"/>
  <c r="Z12" i="26"/>
  <c r="S13" i="26"/>
  <c r="T13" i="26"/>
  <c r="U13" i="26"/>
  <c r="V13" i="26"/>
  <c r="W13" i="26"/>
  <c r="X13" i="26"/>
  <c r="Y13" i="26"/>
  <c r="Z13" i="26"/>
  <c r="S14" i="26"/>
  <c r="T14" i="26"/>
  <c r="U14" i="26"/>
  <c r="V14" i="26"/>
  <c r="W14" i="26"/>
  <c r="X14" i="26"/>
  <c r="Y14" i="26"/>
  <c r="Z14" i="26"/>
  <c r="S15" i="26"/>
  <c r="T15" i="26"/>
  <c r="U15" i="26"/>
  <c r="V15" i="26"/>
  <c r="W15" i="26"/>
  <c r="X15" i="26"/>
  <c r="Y15" i="26"/>
  <c r="Z15" i="26"/>
  <c r="S16" i="26"/>
  <c r="T16" i="26"/>
  <c r="U16" i="26"/>
  <c r="V16" i="26"/>
  <c r="W16" i="26"/>
  <c r="X16" i="26"/>
  <c r="Y16" i="26"/>
  <c r="Z16" i="26"/>
  <c r="S17" i="26"/>
  <c r="T17" i="26"/>
  <c r="U17" i="26"/>
  <c r="V17" i="26"/>
  <c r="W17" i="26"/>
  <c r="X17" i="26"/>
  <c r="Y17" i="26"/>
  <c r="Z17" i="26"/>
  <c r="S18" i="26"/>
  <c r="T18" i="26"/>
  <c r="U18" i="26"/>
  <c r="V18" i="26"/>
  <c r="W18" i="26"/>
  <c r="X18" i="26"/>
  <c r="Y18" i="26"/>
  <c r="Z18" i="26"/>
  <c r="S19" i="26"/>
  <c r="T19" i="26"/>
  <c r="U19" i="26"/>
  <c r="V19" i="26"/>
  <c r="W19" i="26"/>
  <c r="X19" i="26"/>
  <c r="Y19" i="26"/>
  <c r="Z19" i="26"/>
  <c r="S20" i="26"/>
  <c r="T20" i="26"/>
  <c r="U20" i="26"/>
  <c r="V20" i="26"/>
  <c r="W20" i="26"/>
  <c r="X20" i="26"/>
  <c r="Y20" i="26"/>
  <c r="Z20" i="26"/>
  <c r="AA10" i="26"/>
  <c r="C107" i="50"/>
  <c r="P107" i="50"/>
  <c r="P103" i="50"/>
  <c r="M12" i="49" s="1"/>
  <c r="S8" i="26"/>
  <c r="T8" i="26"/>
  <c r="U8" i="26"/>
  <c r="V8" i="26"/>
  <c r="W8" i="26"/>
  <c r="X8" i="26"/>
  <c r="Y8" i="26"/>
  <c r="Z8" i="26"/>
  <c r="S5" i="26"/>
  <c r="T5" i="26"/>
  <c r="U5" i="26"/>
  <c r="V5" i="26"/>
  <c r="W5" i="26"/>
  <c r="X5" i="26"/>
  <c r="Y5" i="26"/>
  <c r="Z5" i="26"/>
  <c r="S6" i="26"/>
  <c r="T6" i="26"/>
  <c r="U6" i="26"/>
  <c r="V6" i="26"/>
  <c r="W6" i="26"/>
  <c r="X6" i="26"/>
  <c r="Y6" i="26"/>
  <c r="Z6" i="26"/>
  <c r="S7" i="26"/>
  <c r="T7" i="26"/>
  <c r="U7" i="26"/>
  <c r="V7" i="26"/>
  <c r="W7" i="26"/>
  <c r="X7" i="26"/>
  <c r="Y7" i="26"/>
  <c r="Z7" i="26"/>
  <c r="S9" i="26"/>
  <c r="T9" i="26"/>
  <c r="U9" i="26"/>
  <c r="V9" i="26"/>
  <c r="W9" i="26"/>
  <c r="X9" i="26"/>
  <c r="Y9" i="26"/>
  <c r="Z9" i="26"/>
  <c r="AA5" i="26"/>
  <c r="C105" i="50"/>
  <c r="Q105" i="50"/>
  <c r="S21" i="26"/>
  <c r="T21" i="26"/>
  <c r="U21" i="26"/>
  <c r="V21" i="26"/>
  <c r="W21" i="26"/>
  <c r="X21" i="26"/>
  <c r="Y21" i="26"/>
  <c r="Z21" i="26"/>
  <c r="S22" i="26"/>
  <c r="T22" i="26"/>
  <c r="U22" i="26"/>
  <c r="V22" i="26"/>
  <c r="W22" i="26"/>
  <c r="X22" i="26"/>
  <c r="Y22" i="26"/>
  <c r="Z22" i="26"/>
  <c r="AA21" i="26"/>
  <c r="C108" i="50"/>
  <c r="Q108" i="50"/>
  <c r="Q103" i="50"/>
  <c r="N12" i="49" s="1"/>
  <c r="H97" i="50"/>
  <c r="E10" i="49" s="1"/>
  <c r="J97" i="50"/>
  <c r="G10" i="49" s="1"/>
  <c r="L97" i="50"/>
  <c r="I10" i="49" s="1"/>
  <c r="M97" i="50"/>
  <c r="J10" i="49" s="1"/>
  <c r="N97" i="50"/>
  <c r="K10" i="49" s="1"/>
  <c r="O97" i="50"/>
  <c r="L10" i="49" s="1"/>
  <c r="P97" i="50"/>
  <c r="M10" i="49" s="1"/>
  <c r="I76" i="50"/>
  <c r="F9" i="49" s="1"/>
  <c r="J76" i="50"/>
  <c r="G9" i="49" s="1"/>
  <c r="K76" i="50"/>
  <c r="H9" i="49" s="1"/>
  <c r="M76" i="50"/>
  <c r="J9" i="49" s="1"/>
  <c r="N76" i="50"/>
  <c r="K9" i="49" s="1"/>
  <c r="P76" i="50"/>
  <c r="M9" i="49" s="1"/>
  <c r="H66" i="50"/>
  <c r="E7" i="49" s="1"/>
  <c r="I5" i="50"/>
  <c r="F4" i="49" s="1"/>
  <c r="I27" i="50"/>
  <c r="F5" i="49" s="1"/>
  <c r="I42" i="50"/>
  <c r="F6" i="49" s="1"/>
  <c r="I66" i="50"/>
  <c r="F7" i="49" s="1"/>
  <c r="J27" i="50"/>
  <c r="G5" i="49" s="1"/>
  <c r="J42" i="50"/>
  <c r="G6" i="49" s="1"/>
  <c r="J66" i="50"/>
  <c r="G7" i="49" s="1"/>
  <c r="K5" i="50"/>
  <c r="H4" i="49" s="1"/>
  <c r="K27" i="50"/>
  <c r="H5" i="49" s="1"/>
  <c r="K66" i="50"/>
  <c r="H7" i="49" s="1"/>
  <c r="L5" i="50"/>
  <c r="I4" i="49" s="1"/>
  <c r="L27" i="50"/>
  <c r="I5" i="49" s="1"/>
  <c r="L42" i="50"/>
  <c r="I6" i="49" s="1"/>
  <c r="L66" i="50"/>
  <c r="I7" i="49" s="1"/>
  <c r="S22" i="47"/>
  <c r="T22" i="47"/>
  <c r="V22" i="47"/>
  <c r="X22" i="47"/>
  <c r="S24" i="47"/>
  <c r="U24" i="47"/>
  <c r="W24" i="47"/>
  <c r="Y24" i="47"/>
  <c r="M27" i="50"/>
  <c r="J5" i="49" s="1"/>
  <c r="M42" i="50"/>
  <c r="J6" i="49" s="1"/>
  <c r="M66" i="50"/>
  <c r="J7" i="49" s="1"/>
  <c r="N5" i="50"/>
  <c r="K4" i="49" s="1"/>
  <c r="N27" i="50"/>
  <c r="K5" i="49" s="1"/>
  <c r="N42" i="50"/>
  <c r="K6" i="49" s="1"/>
  <c r="N66" i="50"/>
  <c r="K7" i="49" s="1"/>
  <c r="O5" i="50"/>
  <c r="L4" i="49" s="1"/>
  <c r="O27" i="50"/>
  <c r="L5" i="49" s="1"/>
  <c r="O42" i="50"/>
  <c r="L6" i="49" s="1"/>
  <c r="O66" i="50"/>
  <c r="L7" i="49" s="1"/>
  <c r="P5" i="50"/>
  <c r="M4" i="49" s="1"/>
  <c r="P27" i="50"/>
  <c r="M5" i="49" s="1"/>
  <c r="P42" i="50"/>
  <c r="M6" i="49" s="1"/>
  <c r="G5" i="50"/>
  <c r="D4" i="49" s="1"/>
  <c r="G171" i="50"/>
  <c r="D19" i="49" s="1"/>
  <c r="G143" i="50"/>
  <c r="D17" i="49" s="1"/>
  <c r="G132" i="50"/>
  <c r="D15" i="49" s="1"/>
  <c r="G103" i="50"/>
  <c r="D12" i="49" s="1"/>
  <c r="G97" i="50"/>
  <c r="D10" i="49" s="1"/>
  <c r="G76" i="50"/>
  <c r="D9" i="49" s="1"/>
  <c r="G66" i="50"/>
  <c r="D7" i="49" s="1"/>
  <c r="G42" i="50"/>
  <c r="D6" i="49" s="1"/>
  <c r="G27" i="50"/>
  <c r="D5" i="49" s="1"/>
  <c r="F178" i="50"/>
  <c r="S15" i="46"/>
  <c r="R2" i="46"/>
  <c r="T9" i="46" s="1"/>
  <c r="T15" i="46"/>
  <c r="U15" i="46"/>
  <c r="V15" i="46"/>
  <c r="W15" i="46"/>
  <c r="X15" i="46"/>
  <c r="Y15" i="46"/>
  <c r="Z15" i="46"/>
  <c r="AA15" i="46"/>
  <c r="C152" i="50" s="1"/>
  <c r="J152" i="50" s="1"/>
  <c r="J143" i="50" s="1"/>
  <c r="G17" i="49" s="1"/>
  <c r="S10" i="46"/>
  <c r="T10" i="46"/>
  <c r="U10" i="46"/>
  <c r="V10" i="46"/>
  <c r="W10" i="46"/>
  <c r="X10" i="46"/>
  <c r="Y10" i="46"/>
  <c r="Z10" i="46"/>
  <c r="S7" i="46"/>
  <c r="T7" i="46"/>
  <c r="U7" i="46"/>
  <c r="V7" i="46"/>
  <c r="W7" i="46"/>
  <c r="X7" i="46"/>
  <c r="Y7" i="46"/>
  <c r="Z7" i="46"/>
  <c r="S8" i="46"/>
  <c r="T8" i="46"/>
  <c r="U8" i="46"/>
  <c r="V8" i="46"/>
  <c r="W8" i="46"/>
  <c r="X8" i="46"/>
  <c r="Y8" i="46"/>
  <c r="Z8" i="46"/>
  <c r="AA7" i="46"/>
  <c r="C146" i="50" s="1"/>
  <c r="Q146" i="50" s="1"/>
  <c r="S5" i="46"/>
  <c r="T5" i="46"/>
  <c r="U5" i="46"/>
  <c r="V5" i="46"/>
  <c r="W5" i="46"/>
  <c r="X5" i="46"/>
  <c r="Y5" i="46"/>
  <c r="Z5" i="46"/>
  <c r="S6" i="46"/>
  <c r="T6" i="46"/>
  <c r="U6" i="46"/>
  <c r="V6" i="46"/>
  <c r="W6" i="46"/>
  <c r="X6" i="46"/>
  <c r="Y6" i="46"/>
  <c r="Z6" i="46"/>
  <c r="AA5" i="46"/>
  <c r="C145" i="50" s="1"/>
  <c r="Q145" i="50" s="1"/>
  <c r="S14" i="23"/>
  <c r="R2" i="23"/>
  <c r="T14" i="23"/>
  <c r="U14" i="23"/>
  <c r="V14" i="23"/>
  <c r="W14" i="23"/>
  <c r="X14" i="23"/>
  <c r="Y14" i="23"/>
  <c r="Z14" i="23"/>
  <c r="S15" i="23"/>
  <c r="T15" i="23"/>
  <c r="U15" i="23"/>
  <c r="V15" i="23"/>
  <c r="W15" i="23"/>
  <c r="X15" i="23"/>
  <c r="Y15" i="23"/>
  <c r="Z15" i="23"/>
  <c r="AA14" i="23"/>
  <c r="C139" i="50" s="1"/>
  <c r="K139" i="50" s="1"/>
  <c r="K132" i="50" s="1"/>
  <c r="H15" i="49" s="1"/>
  <c r="F123" i="50"/>
  <c r="F114" i="50" s="1"/>
  <c r="C14" i="49" s="1"/>
  <c r="F107" i="50"/>
  <c r="S9" i="17"/>
  <c r="R2" i="17"/>
  <c r="T9" i="17"/>
  <c r="U9" i="17"/>
  <c r="V9" i="17"/>
  <c r="W9" i="17"/>
  <c r="X9" i="17"/>
  <c r="Y9" i="17"/>
  <c r="Z9" i="17"/>
  <c r="S10" i="17"/>
  <c r="T10" i="17"/>
  <c r="U10" i="17"/>
  <c r="V10" i="17"/>
  <c r="W10" i="17"/>
  <c r="X10" i="17"/>
  <c r="Y10" i="17"/>
  <c r="Z10" i="17"/>
  <c r="S11" i="17"/>
  <c r="T11" i="17"/>
  <c r="U11" i="17"/>
  <c r="V11" i="17"/>
  <c r="W11" i="17"/>
  <c r="X11" i="17"/>
  <c r="Y11" i="17"/>
  <c r="Z11" i="17"/>
  <c r="AA9" i="17"/>
  <c r="C101" i="50" s="1"/>
  <c r="S5" i="17"/>
  <c r="T5" i="17"/>
  <c r="U5" i="17"/>
  <c r="V5" i="17"/>
  <c r="W5" i="17"/>
  <c r="X5" i="17"/>
  <c r="Y5" i="17"/>
  <c r="Z5" i="17"/>
  <c r="S6" i="17"/>
  <c r="T6" i="17"/>
  <c r="U6" i="17"/>
  <c r="V6" i="17"/>
  <c r="W6" i="17"/>
  <c r="X6" i="17"/>
  <c r="Y6" i="17"/>
  <c r="Z6" i="17"/>
  <c r="AA5" i="17"/>
  <c r="C99" i="50" s="1"/>
  <c r="S11" i="2"/>
  <c r="T11" i="2"/>
  <c r="R2" i="2"/>
  <c r="U11" i="2"/>
  <c r="V11" i="2"/>
  <c r="W11" i="2"/>
  <c r="X11" i="2"/>
  <c r="Y11" i="2"/>
  <c r="Z11" i="2"/>
  <c r="AA11" i="2"/>
  <c r="C82" i="50" s="1"/>
  <c r="O82" i="50" s="1"/>
  <c r="O76" i="50" s="1"/>
  <c r="L9" i="49" s="1"/>
  <c r="F82" i="50"/>
  <c r="S13" i="22"/>
  <c r="R2" i="22"/>
  <c r="T13" i="22"/>
  <c r="U13" i="22"/>
  <c r="V13" i="22"/>
  <c r="W13" i="22"/>
  <c r="X13" i="22"/>
  <c r="Y13" i="22"/>
  <c r="Z13" i="22"/>
  <c r="AA13" i="22"/>
  <c r="C72" i="50" s="1"/>
  <c r="P72" i="50" s="1"/>
  <c r="S7" i="22"/>
  <c r="T7" i="22"/>
  <c r="U7" i="22"/>
  <c r="V7" i="22"/>
  <c r="W7" i="22"/>
  <c r="X7" i="22"/>
  <c r="Y7" i="22"/>
  <c r="Z7" i="22"/>
  <c r="S8" i="22"/>
  <c r="T8" i="22"/>
  <c r="U8" i="22"/>
  <c r="V8" i="22"/>
  <c r="W8" i="22"/>
  <c r="X8" i="22"/>
  <c r="Y8" i="22"/>
  <c r="Z8" i="22"/>
  <c r="S9" i="22"/>
  <c r="T9" i="22"/>
  <c r="U9" i="22"/>
  <c r="V9" i="22"/>
  <c r="W9" i="22"/>
  <c r="X9" i="22"/>
  <c r="Y9" i="22"/>
  <c r="Z9" i="22"/>
  <c r="S10" i="22"/>
  <c r="T10" i="22"/>
  <c r="U10" i="22"/>
  <c r="V10" i="22"/>
  <c r="W10" i="22"/>
  <c r="X10" i="22"/>
  <c r="Y10" i="22"/>
  <c r="Z10" i="22"/>
  <c r="J11" i="22"/>
  <c r="S11" i="22"/>
  <c r="K11" i="22"/>
  <c r="T11" i="22"/>
  <c r="L11" i="22"/>
  <c r="U11" i="22"/>
  <c r="M11" i="22"/>
  <c r="V11" i="22"/>
  <c r="N11" i="22"/>
  <c r="W11" i="22"/>
  <c r="O11" i="22"/>
  <c r="X11" i="22"/>
  <c r="P11" i="22"/>
  <c r="Y11" i="22"/>
  <c r="Z11" i="22"/>
  <c r="AA7" i="22"/>
  <c r="C70" i="50" s="1"/>
  <c r="P70" i="50" s="1"/>
  <c r="P66" i="50" s="1"/>
  <c r="M7" i="49" s="1"/>
  <c r="M20" i="49" s="1"/>
  <c r="S5" i="22"/>
  <c r="T5" i="22"/>
  <c r="U5" i="22"/>
  <c r="V5" i="22"/>
  <c r="W5" i="22"/>
  <c r="X5" i="22"/>
  <c r="Y5" i="22"/>
  <c r="Z5" i="22"/>
  <c r="S6" i="22"/>
  <c r="T6" i="22"/>
  <c r="U6" i="22"/>
  <c r="V6" i="22"/>
  <c r="W6" i="22"/>
  <c r="X6" i="22"/>
  <c r="Y6" i="22"/>
  <c r="Z6" i="22"/>
  <c r="AA5" i="22"/>
  <c r="C68" i="50" s="1"/>
  <c r="Q68" i="50" s="1"/>
  <c r="S21" i="20"/>
  <c r="T21" i="20"/>
  <c r="U21" i="20"/>
  <c r="V21" i="20"/>
  <c r="W21" i="20"/>
  <c r="X21" i="20"/>
  <c r="Y21" i="20"/>
  <c r="Z21" i="20"/>
  <c r="S22" i="20"/>
  <c r="R2" i="20"/>
  <c r="T8" i="20" s="1"/>
  <c r="T22" i="20"/>
  <c r="U22" i="20"/>
  <c r="V22" i="20"/>
  <c r="W22" i="20"/>
  <c r="X22" i="20"/>
  <c r="Y22" i="20"/>
  <c r="Z22" i="20"/>
  <c r="AA21" i="20"/>
  <c r="C59" i="50" s="1"/>
  <c r="K59" i="50" s="1"/>
  <c r="S18" i="20"/>
  <c r="T18" i="20"/>
  <c r="U18" i="20"/>
  <c r="V18" i="20"/>
  <c r="W18" i="20"/>
  <c r="X18" i="20"/>
  <c r="Y18" i="20"/>
  <c r="Z18" i="20"/>
  <c r="S19" i="20"/>
  <c r="T19" i="20"/>
  <c r="U19" i="20"/>
  <c r="V19" i="20"/>
  <c r="W19" i="20"/>
  <c r="X19" i="20"/>
  <c r="Y19" i="20"/>
  <c r="Z19" i="20"/>
  <c r="AA18" i="20"/>
  <c r="C57" i="50" s="1"/>
  <c r="K57" i="50" s="1"/>
  <c r="K42" i="50" s="1"/>
  <c r="H6" i="49" s="1"/>
  <c r="S28" i="19"/>
  <c r="R2" i="19"/>
  <c r="T28" i="19"/>
  <c r="U28" i="19"/>
  <c r="V28" i="19"/>
  <c r="W28" i="19"/>
  <c r="X28" i="19"/>
  <c r="Y28" i="19"/>
  <c r="Z28" i="19"/>
  <c r="S29" i="19"/>
  <c r="T29" i="19"/>
  <c r="U29" i="19"/>
  <c r="V29" i="19"/>
  <c r="W29" i="19"/>
  <c r="X29" i="19"/>
  <c r="Y29" i="19"/>
  <c r="Z29" i="19"/>
  <c r="AA28" i="19"/>
  <c r="C41" i="50" s="1"/>
  <c r="H41" i="50" s="1"/>
  <c r="S8" i="47"/>
  <c r="R2" i="47"/>
  <c r="T8" i="47"/>
  <c r="U8" i="47"/>
  <c r="V8" i="47"/>
  <c r="W8" i="47"/>
  <c r="X8" i="47"/>
  <c r="Y8" i="47"/>
  <c r="Z8" i="47"/>
  <c r="AA8" i="47"/>
  <c r="C10" i="50" s="1"/>
  <c r="Q10" i="50" s="1"/>
  <c r="S23" i="47"/>
  <c r="T23" i="47"/>
  <c r="V23" i="47"/>
  <c r="W23" i="47"/>
  <c r="X23" i="47"/>
  <c r="Z23" i="47"/>
  <c r="S25" i="47"/>
  <c r="T25" i="47"/>
  <c r="U25" i="47"/>
  <c r="V25" i="47"/>
  <c r="W25" i="47"/>
  <c r="X25" i="47"/>
  <c r="Y25" i="47"/>
  <c r="Z25" i="47"/>
  <c r="S26" i="47"/>
  <c r="T26" i="47"/>
  <c r="U26" i="47"/>
  <c r="V26" i="47"/>
  <c r="W26" i="47"/>
  <c r="X26" i="47"/>
  <c r="Y26" i="47"/>
  <c r="Z26" i="47"/>
  <c r="S5" i="47"/>
  <c r="T5" i="47"/>
  <c r="U5" i="47"/>
  <c r="V5" i="47"/>
  <c r="W5" i="47"/>
  <c r="X5" i="47"/>
  <c r="Y5" i="47"/>
  <c r="Z5" i="47"/>
  <c r="S6" i="47"/>
  <c r="T6" i="47"/>
  <c r="U6" i="47"/>
  <c r="V6" i="47"/>
  <c r="W6" i="47"/>
  <c r="X6" i="47"/>
  <c r="Y6" i="47"/>
  <c r="Z6" i="47"/>
  <c r="AA5" i="47"/>
  <c r="C7" i="50" s="1"/>
  <c r="S5" i="19"/>
  <c r="T5" i="19"/>
  <c r="U5" i="19"/>
  <c r="V5" i="19"/>
  <c r="W5" i="19"/>
  <c r="X5" i="19"/>
  <c r="Y5" i="19"/>
  <c r="Z5" i="19"/>
  <c r="S6" i="19"/>
  <c r="T6" i="19"/>
  <c r="U6" i="19"/>
  <c r="V6" i="19"/>
  <c r="W6" i="19"/>
  <c r="X6" i="19"/>
  <c r="Y6" i="19"/>
  <c r="Z6" i="19"/>
  <c r="AA5" i="19"/>
  <c r="C29" i="50" s="1"/>
  <c r="H29" i="50" s="1"/>
  <c r="S7" i="19"/>
  <c r="T7" i="19"/>
  <c r="U7" i="19"/>
  <c r="V7" i="19"/>
  <c r="W7" i="19"/>
  <c r="X7" i="19"/>
  <c r="Y7" i="19"/>
  <c r="Z7" i="19"/>
  <c r="S8" i="19"/>
  <c r="T8" i="19"/>
  <c r="U8" i="19"/>
  <c r="V8" i="19"/>
  <c r="W8" i="19"/>
  <c r="X8" i="19"/>
  <c r="Y8" i="19"/>
  <c r="Z8" i="19"/>
  <c r="AA7" i="19"/>
  <c r="C30" i="50" s="1"/>
  <c r="H30" i="50" s="1"/>
  <c r="S9" i="19"/>
  <c r="T9" i="19"/>
  <c r="U9" i="19"/>
  <c r="V9" i="19"/>
  <c r="W9" i="19"/>
  <c r="X9" i="19"/>
  <c r="Y9" i="19"/>
  <c r="Z9" i="19"/>
  <c r="S10" i="19"/>
  <c r="T10" i="19"/>
  <c r="U10" i="19"/>
  <c r="V10" i="19"/>
  <c r="W10" i="19"/>
  <c r="X10" i="19"/>
  <c r="Y10" i="19"/>
  <c r="Z10" i="19"/>
  <c r="S11" i="19"/>
  <c r="T11" i="19"/>
  <c r="U11" i="19"/>
  <c r="V11" i="19"/>
  <c r="W11" i="19"/>
  <c r="X11" i="19"/>
  <c r="Y11" i="19"/>
  <c r="Z11" i="19"/>
  <c r="S12" i="19"/>
  <c r="T12" i="19"/>
  <c r="U12" i="19"/>
  <c r="V12" i="19"/>
  <c r="W12" i="19"/>
  <c r="X12" i="19"/>
  <c r="Y12" i="19"/>
  <c r="Z12" i="19"/>
  <c r="AA9" i="19"/>
  <c r="C31" i="50" s="1"/>
  <c r="H31" i="50" s="1"/>
  <c r="S13" i="19"/>
  <c r="T13" i="19"/>
  <c r="U13" i="19"/>
  <c r="V13" i="19"/>
  <c r="W13" i="19"/>
  <c r="X13" i="19"/>
  <c r="Y13" i="19"/>
  <c r="Z13" i="19"/>
  <c r="S14" i="19"/>
  <c r="T14" i="19"/>
  <c r="U14" i="19"/>
  <c r="V14" i="19"/>
  <c r="W14" i="19"/>
  <c r="X14" i="19"/>
  <c r="Y14" i="19"/>
  <c r="Z14" i="19"/>
  <c r="AA13" i="19"/>
  <c r="C32" i="50" s="1"/>
  <c r="H32" i="50" s="1"/>
  <c r="D29" i="50"/>
  <c r="S15" i="19"/>
  <c r="T15" i="19"/>
  <c r="U15" i="19"/>
  <c r="V15" i="19"/>
  <c r="W15" i="19"/>
  <c r="X15" i="19"/>
  <c r="Y15" i="19"/>
  <c r="Z15" i="19"/>
  <c r="S16" i="19"/>
  <c r="T16" i="19"/>
  <c r="U16" i="19"/>
  <c r="V16" i="19"/>
  <c r="W16" i="19"/>
  <c r="X16" i="19"/>
  <c r="Y16" i="19"/>
  <c r="Z16" i="19"/>
  <c r="AA15" i="19"/>
  <c r="C34" i="50" s="1"/>
  <c r="Q34" i="50" s="1"/>
  <c r="S17" i="19"/>
  <c r="T17" i="19"/>
  <c r="U17" i="19"/>
  <c r="V17" i="19"/>
  <c r="W17" i="19"/>
  <c r="X17" i="19"/>
  <c r="Y17" i="19"/>
  <c r="Z17" i="19"/>
  <c r="S18" i="19"/>
  <c r="T18" i="19"/>
  <c r="U18" i="19"/>
  <c r="V18" i="19"/>
  <c r="W18" i="19"/>
  <c r="X18" i="19"/>
  <c r="Y18" i="19"/>
  <c r="Z18" i="19"/>
  <c r="S19" i="19"/>
  <c r="T19" i="19"/>
  <c r="U19" i="19"/>
  <c r="V19" i="19"/>
  <c r="W19" i="19"/>
  <c r="X19" i="19"/>
  <c r="Y19" i="19"/>
  <c r="Z19" i="19"/>
  <c r="AA17" i="19"/>
  <c r="C35" i="50" s="1"/>
  <c r="Q35" i="50" s="1"/>
  <c r="S20" i="19"/>
  <c r="T20" i="19"/>
  <c r="U20" i="19"/>
  <c r="V20" i="19"/>
  <c r="W20" i="19"/>
  <c r="X20" i="19"/>
  <c r="Y20" i="19"/>
  <c r="Z20" i="19"/>
  <c r="S21" i="19"/>
  <c r="T21" i="19"/>
  <c r="U21" i="19"/>
  <c r="V21" i="19"/>
  <c r="W21" i="19"/>
  <c r="X21" i="19"/>
  <c r="Y21" i="19"/>
  <c r="Z21" i="19"/>
  <c r="AA20" i="19"/>
  <c r="C36" i="50" s="1"/>
  <c r="Q36" i="50" s="1"/>
  <c r="S22" i="19"/>
  <c r="T22" i="19"/>
  <c r="U22" i="19"/>
  <c r="V22" i="19"/>
  <c r="W22" i="19"/>
  <c r="X22" i="19"/>
  <c r="Y22" i="19"/>
  <c r="Z22" i="19"/>
  <c r="S23" i="19"/>
  <c r="T23" i="19"/>
  <c r="U23" i="19"/>
  <c r="V23" i="19"/>
  <c r="W23" i="19"/>
  <c r="X23" i="19"/>
  <c r="Y23" i="19"/>
  <c r="Z23" i="19"/>
  <c r="AA22" i="19"/>
  <c r="C37" i="50" s="1"/>
  <c r="Q37" i="50" s="1"/>
  <c r="S24" i="19"/>
  <c r="T24" i="19"/>
  <c r="U24" i="19"/>
  <c r="V24" i="19"/>
  <c r="W24" i="19"/>
  <c r="X24" i="19"/>
  <c r="Y24" i="19"/>
  <c r="Z24" i="19"/>
  <c r="S25" i="19"/>
  <c r="T25" i="19"/>
  <c r="U25" i="19"/>
  <c r="V25" i="19"/>
  <c r="W25" i="19"/>
  <c r="X25" i="19"/>
  <c r="Y25" i="19"/>
  <c r="Z25" i="19"/>
  <c r="S26" i="19"/>
  <c r="T26" i="19"/>
  <c r="U26" i="19"/>
  <c r="V26" i="19"/>
  <c r="W26" i="19"/>
  <c r="X26" i="19"/>
  <c r="Y26" i="19"/>
  <c r="Z26" i="19"/>
  <c r="AA24" i="19"/>
  <c r="C38" i="50" s="1"/>
  <c r="Q38" i="50" s="1"/>
  <c r="D34" i="50"/>
  <c r="S27" i="19"/>
  <c r="T27" i="19"/>
  <c r="U27" i="19"/>
  <c r="V27" i="19"/>
  <c r="W27" i="19"/>
  <c r="X27" i="19"/>
  <c r="Y27" i="19"/>
  <c r="Z27" i="19"/>
  <c r="AA27" i="19"/>
  <c r="C40" i="50" s="1"/>
  <c r="Q40" i="50" s="1"/>
  <c r="D40" i="50"/>
  <c r="E28" i="50"/>
  <c r="B5" i="49"/>
  <c r="S13" i="20"/>
  <c r="T13" i="20"/>
  <c r="U13" i="20"/>
  <c r="V13" i="20"/>
  <c r="W13" i="20"/>
  <c r="X13" i="20"/>
  <c r="Y13" i="20"/>
  <c r="Z13" i="20"/>
  <c r="S14" i="20"/>
  <c r="T14" i="20"/>
  <c r="U14" i="20"/>
  <c r="V14" i="20"/>
  <c r="W14" i="20"/>
  <c r="X14" i="20"/>
  <c r="Y14" i="20"/>
  <c r="Z14" i="20"/>
  <c r="AA13" i="20"/>
  <c r="C51" i="50" s="1"/>
  <c r="H51" i="50" s="1"/>
  <c r="S15" i="20"/>
  <c r="T15" i="20"/>
  <c r="U15" i="20"/>
  <c r="V15" i="20"/>
  <c r="W15" i="20"/>
  <c r="X15" i="20"/>
  <c r="Y15" i="20"/>
  <c r="Z15" i="20"/>
  <c r="AA15" i="20"/>
  <c r="C53" i="50" s="1"/>
  <c r="H53" i="50" s="1"/>
  <c r="S16" i="20"/>
  <c r="T16" i="20"/>
  <c r="U16" i="20"/>
  <c r="V16" i="20"/>
  <c r="W16" i="20"/>
  <c r="X16" i="20"/>
  <c r="Y16" i="20"/>
  <c r="Z16" i="20"/>
  <c r="AA16" i="20"/>
  <c r="C54" i="50" s="1"/>
  <c r="H54" i="50" s="1"/>
  <c r="S17" i="20"/>
  <c r="T17" i="20"/>
  <c r="U17" i="20"/>
  <c r="V17" i="20"/>
  <c r="W17" i="20"/>
  <c r="X17" i="20"/>
  <c r="Y17" i="20"/>
  <c r="Z17" i="20"/>
  <c r="AA17" i="20"/>
  <c r="C56" i="50" s="1"/>
  <c r="H56" i="50" s="1"/>
  <c r="S5" i="2"/>
  <c r="T5" i="2"/>
  <c r="U5" i="2"/>
  <c r="V5" i="2"/>
  <c r="W5" i="2"/>
  <c r="X5" i="2"/>
  <c r="Y5" i="2"/>
  <c r="Z5" i="2"/>
  <c r="S6" i="2"/>
  <c r="T6" i="2"/>
  <c r="U6" i="2"/>
  <c r="V6" i="2"/>
  <c r="W6" i="2"/>
  <c r="X6" i="2"/>
  <c r="Y6" i="2"/>
  <c r="Z6" i="2"/>
  <c r="S7" i="2"/>
  <c r="T7" i="2"/>
  <c r="U7" i="2"/>
  <c r="V7" i="2"/>
  <c r="W7" i="2"/>
  <c r="X7" i="2"/>
  <c r="Y7" i="2"/>
  <c r="Z7" i="2"/>
  <c r="S8" i="2"/>
  <c r="T8" i="2"/>
  <c r="U8" i="2"/>
  <c r="V8" i="2"/>
  <c r="W8" i="2"/>
  <c r="X8" i="2"/>
  <c r="Y8" i="2"/>
  <c r="Z8" i="2"/>
  <c r="AA5" i="2"/>
  <c r="C78" i="50" s="1"/>
  <c r="H78" i="50" s="1"/>
  <c r="S9" i="2"/>
  <c r="T9" i="2"/>
  <c r="U9" i="2"/>
  <c r="V9" i="2"/>
  <c r="W9" i="2"/>
  <c r="X9" i="2"/>
  <c r="Y9" i="2"/>
  <c r="Z9" i="2"/>
  <c r="AA9" i="2"/>
  <c r="C79" i="50" s="1"/>
  <c r="H79" i="50" s="1"/>
  <c r="S12" i="2"/>
  <c r="T12" i="2"/>
  <c r="U12" i="2"/>
  <c r="V12" i="2"/>
  <c r="W12" i="2"/>
  <c r="X12" i="2"/>
  <c r="Y12" i="2"/>
  <c r="Z12" i="2"/>
  <c r="AA12" i="2"/>
  <c r="C84" i="50" s="1"/>
  <c r="H84" i="50" s="1"/>
  <c r="S22" i="2"/>
  <c r="T22" i="2"/>
  <c r="U22" i="2"/>
  <c r="V22" i="2"/>
  <c r="W22" i="2"/>
  <c r="X22" i="2"/>
  <c r="Y22" i="2"/>
  <c r="Z22" i="2"/>
  <c r="AA22" i="2"/>
  <c r="C95" i="50" s="1"/>
  <c r="H95" i="50" s="1"/>
  <c r="S23" i="46"/>
  <c r="T23" i="46"/>
  <c r="U23" i="46"/>
  <c r="V23" i="46"/>
  <c r="W23" i="46"/>
  <c r="X23" i="46"/>
  <c r="Y23" i="46"/>
  <c r="Z23" i="46"/>
  <c r="S24" i="46"/>
  <c r="T24" i="46"/>
  <c r="U24" i="46"/>
  <c r="V24" i="46"/>
  <c r="W24" i="46"/>
  <c r="X24" i="46"/>
  <c r="Y24" i="46"/>
  <c r="Z24" i="46"/>
  <c r="S25" i="46"/>
  <c r="T25" i="46"/>
  <c r="U25" i="46"/>
  <c r="V25" i="46"/>
  <c r="W25" i="46"/>
  <c r="X25" i="46"/>
  <c r="Y25" i="46"/>
  <c r="Z25" i="46"/>
  <c r="S26" i="46"/>
  <c r="T26" i="46"/>
  <c r="U26" i="46"/>
  <c r="V26" i="46"/>
  <c r="W26" i="46"/>
  <c r="X26" i="46"/>
  <c r="Y26" i="46"/>
  <c r="Z26" i="46"/>
  <c r="AA23" i="46"/>
  <c r="C160" i="50" s="1"/>
  <c r="K160" i="50" s="1"/>
  <c r="K143" i="50" s="1"/>
  <c r="H17" i="49" s="1"/>
  <c r="S11" i="46"/>
  <c r="T11" i="46"/>
  <c r="U11" i="46"/>
  <c r="V11" i="46"/>
  <c r="W11" i="46"/>
  <c r="X11" i="46"/>
  <c r="Y11" i="46"/>
  <c r="Z11" i="46"/>
  <c r="S12" i="46"/>
  <c r="T12" i="46"/>
  <c r="U12" i="46"/>
  <c r="V12" i="46"/>
  <c r="W12" i="46"/>
  <c r="X12" i="46"/>
  <c r="Y12" i="46"/>
  <c r="Z12" i="46"/>
  <c r="AA11" i="46"/>
  <c r="C149" i="50" s="1"/>
  <c r="Q149" i="50" s="1"/>
  <c r="S13" i="46"/>
  <c r="T13" i="46"/>
  <c r="U13" i="46"/>
  <c r="V13" i="46"/>
  <c r="W13" i="46"/>
  <c r="X13" i="46"/>
  <c r="Y13" i="46"/>
  <c r="Z13" i="46"/>
  <c r="AA13" i="46"/>
  <c r="C150" i="50" s="1"/>
  <c r="Q150" i="50" s="1"/>
  <c r="S14" i="46"/>
  <c r="T14" i="46"/>
  <c r="U14" i="46"/>
  <c r="V14" i="46"/>
  <c r="W14" i="46"/>
  <c r="X14" i="46"/>
  <c r="Y14" i="46"/>
  <c r="Z14" i="46"/>
  <c r="AA14" i="46"/>
  <c r="C151" i="50" s="1"/>
  <c r="Q151" i="50" s="1"/>
  <c r="S16" i="46"/>
  <c r="T16" i="46"/>
  <c r="U16" i="46"/>
  <c r="V16" i="46"/>
  <c r="W16" i="46"/>
  <c r="X16" i="46"/>
  <c r="Y16" i="46"/>
  <c r="Z16" i="46"/>
  <c r="S17" i="46"/>
  <c r="T17" i="46"/>
  <c r="U17" i="46"/>
  <c r="V17" i="46"/>
  <c r="W17" i="46"/>
  <c r="X17" i="46"/>
  <c r="Y17" i="46"/>
  <c r="Z17" i="46"/>
  <c r="S18" i="46"/>
  <c r="T18" i="46"/>
  <c r="U18" i="46"/>
  <c r="V18" i="46"/>
  <c r="W18" i="46"/>
  <c r="X18" i="46"/>
  <c r="Y18" i="46"/>
  <c r="Z18" i="46"/>
  <c r="AA16" i="46"/>
  <c r="C153" i="50" s="1"/>
  <c r="Q153" i="50" s="1"/>
  <c r="S19" i="46"/>
  <c r="T19" i="46"/>
  <c r="U19" i="46"/>
  <c r="V19" i="46"/>
  <c r="W19" i="46"/>
  <c r="X19" i="46"/>
  <c r="Y19" i="46"/>
  <c r="Z19" i="46"/>
  <c r="AA19" i="46"/>
  <c r="C155" i="50" s="1"/>
  <c r="Q155" i="50" s="1"/>
  <c r="S20" i="46"/>
  <c r="T20" i="46"/>
  <c r="U20" i="46"/>
  <c r="V20" i="46"/>
  <c r="W20" i="46"/>
  <c r="X20" i="46"/>
  <c r="Y20" i="46"/>
  <c r="Z20" i="46"/>
  <c r="S21" i="46"/>
  <c r="T21" i="46"/>
  <c r="U21" i="46"/>
  <c r="V21" i="46"/>
  <c r="W21" i="46"/>
  <c r="X21" i="46"/>
  <c r="Y21" i="46"/>
  <c r="Z21" i="46"/>
  <c r="AA20" i="46"/>
  <c r="C157" i="50" s="1"/>
  <c r="Q157" i="50" s="1"/>
  <c r="S22" i="46"/>
  <c r="T22" i="46"/>
  <c r="U22" i="46"/>
  <c r="V22" i="46"/>
  <c r="W22" i="46"/>
  <c r="X22" i="46"/>
  <c r="Y22" i="46"/>
  <c r="Z22" i="46"/>
  <c r="AA22" i="46"/>
  <c r="C158" i="50" s="1"/>
  <c r="Q158" i="50" s="1"/>
  <c r="F143" i="50"/>
  <c r="C17" i="49" s="1"/>
  <c r="S26" i="20"/>
  <c r="T26" i="20"/>
  <c r="U26" i="20"/>
  <c r="V26" i="20"/>
  <c r="W26" i="20"/>
  <c r="X26" i="20"/>
  <c r="Y26" i="20"/>
  <c r="Z26" i="20"/>
  <c r="S27" i="20"/>
  <c r="T27" i="20"/>
  <c r="U27" i="20"/>
  <c r="V27" i="20"/>
  <c r="W27" i="20"/>
  <c r="X27" i="20"/>
  <c r="Y27" i="20"/>
  <c r="Z27" i="20"/>
  <c r="AA26" i="20"/>
  <c r="C65" i="50" s="1"/>
  <c r="Q65" i="50" s="1"/>
  <c r="S16" i="2"/>
  <c r="T16" i="2"/>
  <c r="U16" i="2"/>
  <c r="V16" i="2"/>
  <c r="W16" i="2"/>
  <c r="X16" i="2"/>
  <c r="Y16" i="2"/>
  <c r="Z16" i="2"/>
  <c r="S17" i="2"/>
  <c r="T17" i="2"/>
  <c r="U17" i="2"/>
  <c r="V17" i="2"/>
  <c r="W17" i="2"/>
  <c r="X17" i="2"/>
  <c r="Y17" i="2"/>
  <c r="Z17" i="2"/>
  <c r="AA16" i="2"/>
  <c r="C89" i="50" s="1"/>
  <c r="L89" i="50" s="1"/>
  <c r="S10" i="24"/>
  <c r="R2" i="24"/>
  <c r="T10" i="24"/>
  <c r="U10" i="24"/>
  <c r="V10" i="24"/>
  <c r="W10" i="24"/>
  <c r="X10" i="24"/>
  <c r="Y10" i="24"/>
  <c r="Z10" i="24"/>
  <c r="AA10" i="24"/>
  <c r="C165" i="50" s="1"/>
  <c r="Q165" i="50" s="1"/>
  <c r="S5" i="24"/>
  <c r="T5" i="24"/>
  <c r="U5" i="24"/>
  <c r="V5" i="24"/>
  <c r="W5" i="24"/>
  <c r="X5" i="24"/>
  <c r="Y5" i="24"/>
  <c r="Z5" i="24"/>
  <c r="S6" i="24"/>
  <c r="T6" i="24"/>
  <c r="U6" i="24"/>
  <c r="V6" i="24"/>
  <c r="W6" i="24"/>
  <c r="X6" i="24"/>
  <c r="Y6" i="24"/>
  <c r="Z6" i="24"/>
  <c r="S7" i="24"/>
  <c r="T7" i="24"/>
  <c r="U7" i="24"/>
  <c r="V7" i="24"/>
  <c r="W7" i="24"/>
  <c r="X7" i="24"/>
  <c r="Y7" i="24"/>
  <c r="Z7" i="24"/>
  <c r="S8" i="24"/>
  <c r="T8" i="24"/>
  <c r="U8" i="24"/>
  <c r="V8" i="24"/>
  <c r="W8" i="24"/>
  <c r="X8" i="24"/>
  <c r="Y8" i="24"/>
  <c r="Z8" i="24"/>
  <c r="S9" i="24"/>
  <c r="T9" i="24"/>
  <c r="U9" i="24"/>
  <c r="V9" i="24"/>
  <c r="W9" i="24"/>
  <c r="X9" i="24"/>
  <c r="Y9" i="24"/>
  <c r="Z9" i="24"/>
  <c r="AA5" i="24"/>
  <c r="C164" i="50" s="1"/>
  <c r="Q164" i="50" s="1"/>
  <c r="Q162" i="50" s="1"/>
  <c r="N18" i="49" s="1"/>
  <c r="S15" i="24"/>
  <c r="T15" i="24"/>
  <c r="U15" i="24"/>
  <c r="V15" i="24"/>
  <c r="W15" i="24"/>
  <c r="X15" i="24"/>
  <c r="Y15" i="24"/>
  <c r="Z15" i="24"/>
  <c r="S16" i="24"/>
  <c r="T16" i="24"/>
  <c r="U16" i="24"/>
  <c r="V16" i="24"/>
  <c r="W16" i="24"/>
  <c r="X16" i="24"/>
  <c r="Y16" i="24"/>
  <c r="Z16" i="24"/>
  <c r="AA15" i="24"/>
  <c r="C170" i="50" s="1"/>
  <c r="K170" i="50" s="1"/>
  <c r="S14" i="24"/>
  <c r="T14" i="24"/>
  <c r="U14" i="24"/>
  <c r="V14" i="24"/>
  <c r="W14" i="24"/>
  <c r="X14" i="24"/>
  <c r="Y14" i="24"/>
  <c r="Z14" i="24"/>
  <c r="AA14" i="24"/>
  <c r="C169" i="50" s="1"/>
  <c r="K169" i="50" s="1"/>
  <c r="S11" i="24"/>
  <c r="T11" i="24"/>
  <c r="U11" i="24"/>
  <c r="V11" i="24"/>
  <c r="W11" i="24"/>
  <c r="X11" i="24"/>
  <c r="Y11" i="24"/>
  <c r="Z11" i="24"/>
  <c r="S12" i="24"/>
  <c r="T12" i="24"/>
  <c r="U12" i="24"/>
  <c r="V12" i="24"/>
  <c r="W12" i="24"/>
  <c r="X12" i="24"/>
  <c r="Y12" i="24"/>
  <c r="Z12" i="24"/>
  <c r="S13" i="24"/>
  <c r="T13" i="24"/>
  <c r="U13" i="24"/>
  <c r="V13" i="24"/>
  <c r="W13" i="24"/>
  <c r="X13" i="24"/>
  <c r="Y13" i="24"/>
  <c r="Z13" i="24"/>
  <c r="AA11" i="24"/>
  <c r="C167" i="50" s="1"/>
  <c r="K167" i="50" s="1"/>
  <c r="K162" i="50" s="1"/>
  <c r="H18" i="49" s="1"/>
  <c r="S16" i="23"/>
  <c r="T16" i="23"/>
  <c r="U16" i="23"/>
  <c r="V16" i="23"/>
  <c r="W16" i="23"/>
  <c r="X16" i="23"/>
  <c r="Y16" i="23"/>
  <c r="Z16" i="23"/>
  <c r="S17" i="23"/>
  <c r="T17" i="23"/>
  <c r="U17" i="23"/>
  <c r="V17" i="23"/>
  <c r="W17" i="23"/>
  <c r="X17" i="23"/>
  <c r="Y17" i="23"/>
  <c r="Z17" i="23"/>
  <c r="AA16" i="23"/>
  <c r="C141" i="50" s="1"/>
  <c r="Q141" i="50" s="1"/>
  <c r="S12" i="23"/>
  <c r="T12" i="23"/>
  <c r="U12" i="23"/>
  <c r="V12" i="23"/>
  <c r="W12" i="23"/>
  <c r="X12" i="23"/>
  <c r="Y12" i="23"/>
  <c r="Z12" i="23"/>
  <c r="S13" i="23"/>
  <c r="T13" i="23"/>
  <c r="U13" i="23"/>
  <c r="V13" i="23"/>
  <c r="W13" i="23"/>
  <c r="X13" i="23"/>
  <c r="Y13" i="23"/>
  <c r="Z13" i="23"/>
  <c r="AA12" i="23"/>
  <c r="C138" i="50" s="1"/>
  <c r="Q138" i="50" s="1"/>
  <c r="S9" i="23"/>
  <c r="T9" i="23"/>
  <c r="U9" i="23"/>
  <c r="V9" i="23"/>
  <c r="W9" i="23"/>
  <c r="X9" i="23"/>
  <c r="Y9" i="23"/>
  <c r="Z9" i="23"/>
  <c r="S10" i="23"/>
  <c r="T10" i="23"/>
  <c r="U10" i="23"/>
  <c r="V10" i="23"/>
  <c r="W10" i="23"/>
  <c r="X10" i="23"/>
  <c r="Y10" i="23"/>
  <c r="Z10" i="23"/>
  <c r="S11" i="23"/>
  <c r="T11" i="23"/>
  <c r="U11" i="23"/>
  <c r="V11" i="23"/>
  <c r="W11" i="23"/>
  <c r="X11" i="23"/>
  <c r="Y11" i="23"/>
  <c r="Z11" i="23"/>
  <c r="AA9" i="23"/>
  <c r="C137" i="50" s="1"/>
  <c r="Q137" i="50" s="1"/>
  <c r="S5" i="23"/>
  <c r="T5" i="23"/>
  <c r="U5" i="23"/>
  <c r="V5" i="23"/>
  <c r="W5" i="23"/>
  <c r="X5" i="23"/>
  <c r="Y5" i="23"/>
  <c r="Z5" i="23"/>
  <c r="S6" i="23"/>
  <c r="T6" i="23"/>
  <c r="U6" i="23"/>
  <c r="V6" i="23"/>
  <c r="W6" i="23"/>
  <c r="X6" i="23"/>
  <c r="Y6" i="23"/>
  <c r="Z6" i="23"/>
  <c r="AA5" i="23"/>
  <c r="C134" i="50" s="1"/>
  <c r="Q134" i="50" s="1"/>
  <c r="Q132" i="50" s="1"/>
  <c r="N15" i="49" s="1"/>
  <c r="S7" i="23"/>
  <c r="T7" i="23"/>
  <c r="U7" i="23"/>
  <c r="V7" i="23"/>
  <c r="W7" i="23"/>
  <c r="X7" i="23"/>
  <c r="Y7" i="23"/>
  <c r="Z7" i="23"/>
  <c r="S8" i="23"/>
  <c r="T8" i="23"/>
  <c r="U8" i="23"/>
  <c r="V8" i="23"/>
  <c r="W8" i="23"/>
  <c r="X8" i="23"/>
  <c r="Y8" i="23"/>
  <c r="Z8" i="23"/>
  <c r="AA7" i="23"/>
  <c r="C135" i="50" s="1"/>
  <c r="N135" i="50" s="1"/>
  <c r="N132" i="50" s="1"/>
  <c r="K15" i="49" s="1"/>
  <c r="K20" i="49" s="1"/>
  <c r="S7" i="17"/>
  <c r="T7" i="17"/>
  <c r="U7" i="17"/>
  <c r="V7" i="17"/>
  <c r="W7" i="17"/>
  <c r="X7" i="17"/>
  <c r="Y7" i="17"/>
  <c r="Z7" i="17"/>
  <c r="S8" i="17"/>
  <c r="T8" i="17"/>
  <c r="U8" i="17"/>
  <c r="V8" i="17"/>
  <c r="W8" i="17"/>
  <c r="X8" i="17"/>
  <c r="Y8" i="17"/>
  <c r="Z8" i="17"/>
  <c r="AA7" i="17"/>
  <c r="C100" i="50" s="1"/>
  <c r="Q100" i="50" s="1"/>
  <c r="Q97" i="50" s="1"/>
  <c r="N10" i="49" s="1"/>
  <c r="S23" i="2"/>
  <c r="T23" i="2"/>
  <c r="U23" i="2"/>
  <c r="V23" i="2"/>
  <c r="W23" i="2"/>
  <c r="X23" i="2"/>
  <c r="Y23" i="2"/>
  <c r="Z23" i="2"/>
  <c r="AA23" i="2"/>
  <c r="C96" i="50" s="1"/>
  <c r="Q96" i="50" s="1"/>
  <c r="S21" i="2"/>
  <c r="T21" i="2"/>
  <c r="U21" i="2"/>
  <c r="V21" i="2"/>
  <c r="W21" i="2"/>
  <c r="X21" i="2"/>
  <c r="Y21" i="2"/>
  <c r="Z21" i="2"/>
  <c r="AA21" i="2"/>
  <c r="C94" i="50" s="1"/>
  <c r="Q94" i="50" s="1"/>
  <c r="S20" i="2"/>
  <c r="T20" i="2"/>
  <c r="U20" i="2"/>
  <c r="V20" i="2"/>
  <c r="W20" i="2"/>
  <c r="X20" i="2"/>
  <c r="Y20" i="2"/>
  <c r="Z20" i="2"/>
  <c r="AA20" i="2"/>
  <c r="C92" i="50" s="1"/>
  <c r="Q92" i="50" s="1"/>
  <c r="S15" i="2"/>
  <c r="T15" i="2"/>
  <c r="U15" i="2"/>
  <c r="V15" i="2"/>
  <c r="W15" i="2"/>
  <c r="X15" i="2"/>
  <c r="Y15" i="2"/>
  <c r="Z15" i="2"/>
  <c r="AA15" i="2"/>
  <c r="C87" i="50" s="1"/>
  <c r="Q87" i="50" s="1"/>
  <c r="S14" i="2"/>
  <c r="T14" i="2"/>
  <c r="U14" i="2"/>
  <c r="V14" i="2"/>
  <c r="W14" i="2"/>
  <c r="X14" i="2"/>
  <c r="Y14" i="2"/>
  <c r="Z14" i="2"/>
  <c r="AA14" i="2"/>
  <c r="C86" i="50" s="1"/>
  <c r="Q86" i="50" s="1"/>
  <c r="S13" i="2"/>
  <c r="T13" i="2"/>
  <c r="U13" i="2"/>
  <c r="V13" i="2"/>
  <c r="W13" i="2"/>
  <c r="X13" i="2"/>
  <c r="Y13" i="2"/>
  <c r="Z13" i="2"/>
  <c r="AA13" i="2"/>
  <c r="C85" i="50" s="1"/>
  <c r="Q85" i="50" s="1"/>
  <c r="S10" i="2"/>
  <c r="T10" i="2"/>
  <c r="U10" i="2"/>
  <c r="V10" i="2"/>
  <c r="W10" i="2"/>
  <c r="X10" i="2"/>
  <c r="Y10" i="2"/>
  <c r="Z10" i="2"/>
  <c r="AA10" i="2"/>
  <c r="C81" i="50" s="1"/>
  <c r="Q81" i="50" s="1"/>
  <c r="Q76" i="50" s="1"/>
  <c r="N9" i="49" s="1"/>
  <c r="S19" i="2"/>
  <c r="T19" i="2"/>
  <c r="U19" i="2"/>
  <c r="V19" i="2"/>
  <c r="W19" i="2"/>
  <c r="X19" i="2"/>
  <c r="Y19" i="2"/>
  <c r="Z19" i="2"/>
  <c r="AA19" i="2"/>
  <c r="C91" i="50" s="1"/>
  <c r="L91" i="50" s="1"/>
  <c r="S18" i="2"/>
  <c r="T18" i="2"/>
  <c r="U18" i="2"/>
  <c r="V18" i="2"/>
  <c r="W18" i="2"/>
  <c r="X18" i="2"/>
  <c r="Y18" i="2"/>
  <c r="Z18" i="2"/>
  <c r="AA18" i="2"/>
  <c r="C90" i="50" s="1"/>
  <c r="L90" i="50" s="1"/>
  <c r="S14" i="22"/>
  <c r="T14" i="22"/>
  <c r="U14" i="22"/>
  <c r="V14" i="22"/>
  <c r="W14" i="22"/>
  <c r="X14" i="22"/>
  <c r="Y14" i="22"/>
  <c r="Z14" i="22"/>
  <c r="AA14" i="22"/>
  <c r="C74" i="50" s="1"/>
  <c r="Q74" i="50" s="1"/>
  <c r="S12" i="22"/>
  <c r="T12" i="22"/>
  <c r="U12" i="22"/>
  <c r="V12" i="22"/>
  <c r="W12" i="22"/>
  <c r="X12" i="22"/>
  <c r="Y12" i="22"/>
  <c r="Z12" i="22"/>
  <c r="AA12" i="22"/>
  <c r="C71" i="50" s="1"/>
  <c r="Q71" i="50" s="1"/>
  <c r="S25" i="20"/>
  <c r="T25" i="20"/>
  <c r="U25" i="20"/>
  <c r="V25" i="20"/>
  <c r="W25" i="20"/>
  <c r="X25" i="20"/>
  <c r="Y25" i="20"/>
  <c r="Z25" i="20"/>
  <c r="AA25" i="20"/>
  <c r="C64" i="50" s="1"/>
  <c r="Q64" i="50" s="1"/>
  <c r="S24" i="20"/>
  <c r="T24" i="20"/>
  <c r="U24" i="20"/>
  <c r="V24" i="20"/>
  <c r="W24" i="20"/>
  <c r="X24" i="20"/>
  <c r="Y24" i="20"/>
  <c r="Z24" i="20"/>
  <c r="AA24" i="20"/>
  <c r="C62" i="50" s="1"/>
  <c r="Q62" i="50" s="1"/>
  <c r="S23" i="20"/>
  <c r="T23" i="20"/>
  <c r="U23" i="20"/>
  <c r="V23" i="20"/>
  <c r="W23" i="20"/>
  <c r="X23" i="20"/>
  <c r="Y23" i="20"/>
  <c r="Z23" i="20"/>
  <c r="AA23" i="20"/>
  <c r="C60" i="50" s="1"/>
  <c r="Q60" i="50" s="1"/>
  <c r="S20" i="20"/>
  <c r="T20" i="20"/>
  <c r="U20" i="20"/>
  <c r="V20" i="20"/>
  <c r="W20" i="20"/>
  <c r="X20" i="20"/>
  <c r="Y20" i="20"/>
  <c r="Z20" i="20"/>
  <c r="AA20" i="20"/>
  <c r="C58" i="50" s="1"/>
  <c r="Q58" i="50" s="1"/>
  <c r="S12" i="20"/>
  <c r="T12" i="20"/>
  <c r="U12" i="20"/>
  <c r="V12" i="20"/>
  <c r="W12" i="20"/>
  <c r="X12" i="20"/>
  <c r="Y12" i="20"/>
  <c r="Z12" i="20"/>
  <c r="AA12" i="20"/>
  <c r="C50" i="50" s="1"/>
  <c r="Q50" i="50" s="1"/>
  <c r="S10" i="20"/>
  <c r="T10" i="20"/>
  <c r="U10" i="20"/>
  <c r="V10" i="20"/>
  <c r="W10" i="20"/>
  <c r="X10" i="20"/>
  <c r="Y10" i="20"/>
  <c r="Z10" i="20"/>
  <c r="S11" i="20"/>
  <c r="T11" i="20"/>
  <c r="U11" i="20"/>
  <c r="V11" i="20"/>
  <c r="W11" i="20"/>
  <c r="X11" i="20"/>
  <c r="Y11" i="20"/>
  <c r="Z11" i="20"/>
  <c r="AA10" i="20"/>
  <c r="C48" i="50" s="1"/>
  <c r="Q48" i="50" s="1"/>
  <c r="S7" i="20"/>
  <c r="T7" i="20"/>
  <c r="U7" i="20"/>
  <c r="V7" i="20"/>
  <c r="W7" i="20"/>
  <c r="X7" i="20"/>
  <c r="Y7" i="20"/>
  <c r="Z7" i="20"/>
  <c r="S9" i="20"/>
  <c r="T9" i="20"/>
  <c r="U9" i="20"/>
  <c r="V9" i="20"/>
  <c r="W9" i="20"/>
  <c r="X9" i="20"/>
  <c r="Y9" i="20"/>
  <c r="Z9" i="20"/>
  <c r="S6" i="20"/>
  <c r="T6" i="20"/>
  <c r="U6" i="20"/>
  <c r="V6" i="20"/>
  <c r="W6" i="20"/>
  <c r="X6" i="20"/>
  <c r="Y6" i="20"/>
  <c r="Z6" i="20"/>
  <c r="AA6" i="20"/>
  <c r="C45" i="50" s="1"/>
  <c r="Q45" i="50" s="1"/>
  <c r="S5" i="20"/>
  <c r="T5" i="20"/>
  <c r="U5" i="20"/>
  <c r="V5" i="20"/>
  <c r="W5" i="20"/>
  <c r="X5" i="20"/>
  <c r="Y5" i="20"/>
  <c r="Z5" i="20"/>
  <c r="AA5" i="20"/>
  <c r="C44" i="50" s="1"/>
  <c r="Q44" i="50" s="1"/>
  <c r="S28" i="47"/>
  <c r="T28" i="47"/>
  <c r="U28" i="47"/>
  <c r="V28" i="47"/>
  <c r="W28" i="47"/>
  <c r="X28" i="47"/>
  <c r="Y28" i="47"/>
  <c r="Z28" i="47"/>
  <c r="S29" i="47"/>
  <c r="T29" i="47"/>
  <c r="U29" i="47"/>
  <c r="V29" i="47"/>
  <c r="W29" i="47"/>
  <c r="X29" i="47"/>
  <c r="Y29" i="47"/>
  <c r="Z29" i="47"/>
  <c r="S30" i="47"/>
  <c r="T30" i="47"/>
  <c r="U30" i="47"/>
  <c r="V30" i="47"/>
  <c r="W30" i="47"/>
  <c r="X30" i="47"/>
  <c r="Y30" i="47"/>
  <c r="Z30" i="47"/>
  <c r="S31" i="47"/>
  <c r="T31" i="47"/>
  <c r="U31" i="47"/>
  <c r="V31" i="47"/>
  <c r="W31" i="47"/>
  <c r="X31" i="47"/>
  <c r="Y31" i="47"/>
  <c r="Z31" i="47"/>
  <c r="AA28" i="47"/>
  <c r="C26" i="50" s="1"/>
  <c r="Q26" i="50" s="1"/>
  <c r="S27" i="47"/>
  <c r="T27" i="47"/>
  <c r="U27" i="47"/>
  <c r="V27" i="47"/>
  <c r="W27" i="47"/>
  <c r="X27" i="47"/>
  <c r="Y27" i="47"/>
  <c r="Z27" i="47"/>
  <c r="AA27" i="47"/>
  <c r="C24" i="50" s="1"/>
  <c r="Q24" i="50" s="1"/>
  <c r="S21" i="47"/>
  <c r="T21" i="47"/>
  <c r="U21" i="47"/>
  <c r="V21" i="47"/>
  <c r="W21" i="47"/>
  <c r="X21" i="47"/>
  <c r="Y21" i="47"/>
  <c r="Z21" i="47"/>
  <c r="AA21" i="47"/>
  <c r="C21" i="50" s="1"/>
  <c r="Q21" i="50" s="1"/>
  <c r="S16" i="47"/>
  <c r="T16" i="47"/>
  <c r="U16" i="47"/>
  <c r="V16" i="47"/>
  <c r="W16" i="47"/>
  <c r="X16" i="47"/>
  <c r="Y16" i="47"/>
  <c r="Z16" i="47"/>
  <c r="S17" i="47"/>
  <c r="T17" i="47"/>
  <c r="U17" i="47"/>
  <c r="V17" i="47"/>
  <c r="W17" i="47"/>
  <c r="X17" i="47"/>
  <c r="Y17" i="47"/>
  <c r="Z17" i="47"/>
  <c r="S18" i="47"/>
  <c r="T18" i="47"/>
  <c r="U18" i="47"/>
  <c r="V18" i="47"/>
  <c r="W18" i="47"/>
  <c r="X18" i="47"/>
  <c r="Y18" i="47"/>
  <c r="Z18" i="47"/>
  <c r="S19" i="47"/>
  <c r="T19" i="47"/>
  <c r="U19" i="47"/>
  <c r="V19" i="47"/>
  <c r="W19" i="47"/>
  <c r="X19" i="47"/>
  <c r="Y19" i="47"/>
  <c r="Z19" i="47"/>
  <c r="S20" i="47"/>
  <c r="T20" i="47"/>
  <c r="U20" i="47"/>
  <c r="V20" i="47"/>
  <c r="W20" i="47"/>
  <c r="X20" i="47"/>
  <c r="Y20" i="47"/>
  <c r="Z20" i="47"/>
  <c r="AA16" i="47"/>
  <c r="C20" i="50" s="1"/>
  <c r="Q20" i="50" s="1"/>
  <c r="S15" i="47"/>
  <c r="T15" i="47"/>
  <c r="U15" i="47"/>
  <c r="V15" i="47"/>
  <c r="W15" i="47"/>
  <c r="X15" i="47"/>
  <c r="Y15" i="47"/>
  <c r="Z15" i="47"/>
  <c r="AA15" i="47"/>
  <c r="C18" i="50" s="1"/>
  <c r="Q18" i="50" s="1"/>
  <c r="S14" i="47"/>
  <c r="T14" i="47"/>
  <c r="U14" i="47"/>
  <c r="V14" i="47"/>
  <c r="W14" i="47"/>
  <c r="X14" i="47"/>
  <c r="Y14" i="47"/>
  <c r="Z14" i="47"/>
  <c r="AA14" i="47"/>
  <c r="C17" i="50" s="1"/>
  <c r="Q17" i="50" s="1"/>
  <c r="S12" i="47"/>
  <c r="T12" i="47"/>
  <c r="U12" i="47"/>
  <c r="V12" i="47"/>
  <c r="W12" i="47"/>
  <c r="X12" i="47"/>
  <c r="Y12" i="47"/>
  <c r="Z12" i="47"/>
  <c r="S13" i="47"/>
  <c r="T13" i="47"/>
  <c r="U13" i="47"/>
  <c r="V13" i="47"/>
  <c r="W13" i="47"/>
  <c r="X13" i="47"/>
  <c r="Y13" i="47"/>
  <c r="Z13" i="47"/>
  <c r="AA12" i="47"/>
  <c r="C15" i="50" s="1"/>
  <c r="Q15" i="50" s="1"/>
  <c r="S11" i="47"/>
  <c r="T11" i="47"/>
  <c r="U11" i="47"/>
  <c r="V11" i="47"/>
  <c r="W11" i="47"/>
  <c r="X11" i="47"/>
  <c r="Y11" i="47"/>
  <c r="Z11" i="47"/>
  <c r="AA11" i="47"/>
  <c r="C14" i="50" s="1"/>
  <c r="Q14" i="50" s="1"/>
  <c r="S10" i="47"/>
  <c r="T10" i="47"/>
  <c r="U10" i="47"/>
  <c r="V10" i="47"/>
  <c r="W10" i="47"/>
  <c r="X10" i="47"/>
  <c r="Y10" i="47"/>
  <c r="Z10" i="47"/>
  <c r="AA10" i="47"/>
  <c r="C12" i="50" s="1"/>
  <c r="Q12" i="50" s="1"/>
  <c r="S9" i="47"/>
  <c r="T9" i="47"/>
  <c r="U9" i="47"/>
  <c r="V9" i="47"/>
  <c r="W9" i="47"/>
  <c r="X9" i="47"/>
  <c r="Y9" i="47"/>
  <c r="Z9" i="47"/>
  <c r="AA9" i="47"/>
  <c r="C11" i="50" s="1"/>
  <c r="Q11" i="50" s="1"/>
  <c r="S7" i="47"/>
  <c r="T7" i="47"/>
  <c r="U7" i="47"/>
  <c r="V7" i="47"/>
  <c r="W7" i="47"/>
  <c r="X7" i="47"/>
  <c r="Y7" i="47"/>
  <c r="Z7" i="47"/>
  <c r="AA7" i="47"/>
  <c r="C8" i="50" s="1"/>
  <c r="Q8" i="50" s="1"/>
  <c r="Q5" i="50" s="1"/>
  <c r="N4" i="49" s="1"/>
  <c r="F171" i="50"/>
  <c r="C19" i="49" s="1"/>
  <c r="O19" i="49" s="1"/>
  <c r="F162" i="50"/>
  <c r="C18" i="49" s="1"/>
  <c r="O18" i="49" s="1"/>
  <c r="F132" i="50"/>
  <c r="C15" i="49" s="1"/>
  <c r="O15" i="49" s="1"/>
  <c r="F97" i="50"/>
  <c r="C10" i="49" s="1"/>
  <c r="F76" i="50"/>
  <c r="C9" i="49" s="1"/>
  <c r="F42" i="50"/>
  <c r="C6" i="49" s="1"/>
  <c r="F27" i="50"/>
  <c r="C5" i="49" s="1"/>
  <c r="D164" i="50"/>
  <c r="D167" i="50"/>
  <c r="D169" i="50"/>
  <c r="E163" i="50"/>
  <c r="B18" i="49"/>
  <c r="D149" i="50"/>
  <c r="D155" i="50"/>
  <c r="D157" i="50"/>
  <c r="D160" i="50"/>
  <c r="D7" i="50"/>
  <c r="D10" i="50"/>
  <c r="D14" i="50"/>
  <c r="D17" i="50"/>
  <c r="D20" i="50"/>
  <c r="D26" i="50"/>
  <c r="R10" i="50"/>
  <c r="S27" i="25"/>
  <c r="T27" i="25"/>
  <c r="U27" i="25"/>
  <c r="V27" i="25"/>
  <c r="W27" i="25"/>
  <c r="X27" i="25"/>
  <c r="Y27" i="25"/>
  <c r="S22" i="25"/>
  <c r="T22" i="25"/>
  <c r="U22" i="25"/>
  <c r="V22" i="25"/>
  <c r="W22" i="25"/>
  <c r="X22" i="25"/>
  <c r="Y22" i="25"/>
  <c r="S5" i="25"/>
  <c r="T5" i="25"/>
  <c r="U5" i="25"/>
  <c r="V5" i="25"/>
  <c r="W5" i="25"/>
  <c r="X5" i="25"/>
  <c r="Y5" i="25"/>
  <c r="S25" i="26"/>
  <c r="T25" i="26"/>
  <c r="U25" i="26"/>
  <c r="V25" i="26"/>
  <c r="W25" i="26"/>
  <c r="X25" i="26"/>
  <c r="Y25" i="26"/>
  <c r="R174" i="50"/>
  <c r="R173" i="50"/>
  <c r="S173" i="50"/>
  <c r="R176" i="50"/>
  <c r="R177" i="50"/>
  <c r="R178" i="50"/>
  <c r="R179" i="50"/>
  <c r="R180" i="50"/>
  <c r="S176" i="50"/>
  <c r="R183" i="50"/>
  <c r="R182" i="50"/>
  <c r="S182" i="50"/>
  <c r="R185" i="50"/>
  <c r="R186" i="50"/>
  <c r="S185" i="50"/>
  <c r="T172" i="50"/>
  <c r="R167" i="50"/>
  <c r="S167" i="50"/>
  <c r="R169" i="50"/>
  <c r="R170" i="50"/>
  <c r="S169" i="50"/>
  <c r="R164" i="50"/>
  <c r="R165" i="50"/>
  <c r="S164" i="50"/>
  <c r="T163" i="50"/>
  <c r="R152" i="50"/>
  <c r="R149" i="50"/>
  <c r="R150" i="50"/>
  <c r="R151" i="50"/>
  <c r="R153" i="50"/>
  <c r="S149" i="50"/>
  <c r="R157" i="50"/>
  <c r="R158" i="50"/>
  <c r="S157" i="50"/>
  <c r="R160" i="50"/>
  <c r="S160" i="50"/>
  <c r="R155" i="50"/>
  <c r="S155" i="50"/>
  <c r="R145" i="50"/>
  <c r="R146" i="50"/>
  <c r="R135" i="50"/>
  <c r="R134" i="50"/>
  <c r="S134" i="50"/>
  <c r="R139" i="50"/>
  <c r="R137" i="50"/>
  <c r="R138" i="50"/>
  <c r="S137" i="50"/>
  <c r="R141" i="50"/>
  <c r="S141" i="50"/>
  <c r="T133" i="50"/>
  <c r="R116" i="50"/>
  <c r="R117" i="50"/>
  <c r="S116" i="50"/>
  <c r="R119" i="50"/>
  <c r="R120" i="50"/>
  <c r="S119" i="50"/>
  <c r="R122" i="50"/>
  <c r="R123" i="50"/>
  <c r="R124" i="50"/>
  <c r="S122" i="50"/>
  <c r="R126" i="50"/>
  <c r="R127" i="50"/>
  <c r="S126" i="50"/>
  <c r="R130" i="50"/>
  <c r="R129" i="50"/>
  <c r="R131" i="50"/>
  <c r="S129" i="50"/>
  <c r="T115" i="50"/>
  <c r="R112" i="50"/>
  <c r="R105" i="50"/>
  <c r="S105" i="50"/>
  <c r="R107" i="50"/>
  <c r="R108" i="50"/>
  <c r="S107" i="50"/>
  <c r="R100" i="50"/>
  <c r="R68" i="50"/>
  <c r="S68" i="50"/>
  <c r="R78" i="50"/>
  <c r="R79" i="50"/>
  <c r="S78" i="50"/>
  <c r="R82" i="50"/>
  <c r="R81" i="50"/>
  <c r="S81" i="50"/>
  <c r="R84" i="50"/>
  <c r="R85" i="50"/>
  <c r="R86" i="50"/>
  <c r="R87" i="50"/>
  <c r="S84" i="50"/>
  <c r="R90" i="50"/>
  <c r="R91" i="50"/>
  <c r="R89" i="50"/>
  <c r="R92" i="50"/>
  <c r="S89" i="50"/>
  <c r="R95" i="50"/>
  <c r="R94" i="50"/>
  <c r="R96" i="50"/>
  <c r="S94" i="50"/>
  <c r="T77" i="50"/>
  <c r="R70" i="50"/>
  <c r="R72" i="50"/>
  <c r="R71" i="50"/>
  <c r="S70" i="50"/>
  <c r="R74" i="50"/>
  <c r="S74" i="50"/>
  <c r="T67" i="50"/>
  <c r="R51" i="50"/>
  <c r="R50" i="50"/>
  <c r="S50" i="50"/>
  <c r="R53" i="50"/>
  <c r="R54" i="50"/>
  <c r="S53" i="50"/>
  <c r="R56" i="50"/>
  <c r="R57" i="50"/>
  <c r="R59" i="50"/>
  <c r="R58" i="50"/>
  <c r="R60" i="50"/>
  <c r="S56" i="50"/>
  <c r="R44" i="50"/>
  <c r="R45" i="50"/>
  <c r="S44" i="50"/>
  <c r="R48" i="50"/>
  <c r="R62" i="50"/>
  <c r="S62" i="50"/>
  <c r="R64" i="50"/>
  <c r="R65" i="50"/>
  <c r="S64" i="50"/>
  <c r="R29" i="50"/>
  <c r="R30" i="50"/>
  <c r="R31" i="50"/>
  <c r="R32" i="50"/>
  <c r="S29" i="50"/>
  <c r="R41" i="50"/>
  <c r="R40" i="50"/>
  <c r="S40" i="50"/>
  <c r="R34" i="50"/>
  <c r="R35" i="50"/>
  <c r="R36" i="50"/>
  <c r="R37" i="50"/>
  <c r="R38" i="50"/>
  <c r="S34" i="50"/>
  <c r="T28" i="50"/>
  <c r="R11" i="50"/>
  <c r="R12" i="50"/>
  <c r="S10" i="50"/>
  <c r="B160" i="50"/>
  <c r="A160" i="50"/>
  <c r="B157" i="50"/>
  <c r="B158" i="50"/>
  <c r="A158" i="50"/>
  <c r="A157" i="50"/>
  <c r="B155" i="50"/>
  <c r="A155" i="50"/>
  <c r="B153" i="50"/>
  <c r="B152" i="50"/>
  <c r="B151" i="50"/>
  <c r="B150" i="50"/>
  <c r="B149" i="50"/>
  <c r="A153" i="50"/>
  <c r="A152" i="50"/>
  <c r="A151" i="50"/>
  <c r="A150" i="50"/>
  <c r="A149" i="50"/>
  <c r="B147" i="50"/>
  <c r="B146" i="50"/>
  <c r="B145" i="50"/>
  <c r="A147" i="50"/>
  <c r="A146" i="50"/>
  <c r="A145" i="50"/>
  <c r="Z27" i="25"/>
  <c r="AA27" i="25"/>
  <c r="C186" i="50"/>
  <c r="B186" i="50"/>
  <c r="B185" i="50"/>
  <c r="A186" i="50"/>
  <c r="A185" i="50"/>
  <c r="Z22" i="25"/>
  <c r="AA22" i="25"/>
  <c r="C182" i="50"/>
  <c r="D182" i="50"/>
  <c r="B183" i="50"/>
  <c r="B182" i="50"/>
  <c r="A183" i="50"/>
  <c r="A182" i="50"/>
  <c r="B180" i="50"/>
  <c r="B179" i="50"/>
  <c r="B178" i="50"/>
  <c r="B177" i="50"/>
  <c r="B176" i="50"/>
  <c r="A180" i="50"/>
  <c r="A179" i="50"/>
  <c r="A178" i="50"/>
  <c r="A177" i="50"/>
  <c r="A176" i="50"/>
  <c r="Z5" i="25"/>
  <c r="AA5" i="25"/>
  <c r="C173" i="50"/>
  <c r="B174" i="50"/>
  <c r="B173" i="50"/>
  <c r="A174" i="50"/>
  <c r="A173" i="50"/>
  <c r="B170" i="50"/>
  <c r="B169" i="50"/>
  <c r="A170" i="50"/>
  <c r="A169" i="50"/>
  <c r="B167" i="50"/>
  <c r="A167" i="50"/>
  <c r="B165" i="50"/>
  <c r="B164" i="50"/>
  <c r="A165" i="50"/>
  <c r="A164" i="50"/>
  <c r="B141" i="50"/>
  <c r="A141" i="50"/>
  <c r="B139" i="50"/>
  <c r="B138" i="50"/>
  <c r="B137" i="50"/>
  <c r="A139" i="50"/>
  <c r="A138" i="50"/>
  <c r="A137" i="50"/>
  <c r="B135" i="50"/>
  <c r="B134" i="50"/>
  <c r="A135" i="50"/>
  <c r="A134" i="50"/>
  <c r="B130" i="50"/>
  <c r="B131" i="50"/>
  <c r="B129" i="50"/>
  <c r="A131" i="50"/>
  <c r="A130" i="50"/>
  <c r="A129" i="50"/>
  <c r="B127" i="50"/>
  <c r="B126" i="50"/>
  <c r="A127" i="50"/>
  <c r="A126" i="50"/>
  <c r="B122" i="50"/>
  <c r="B124" i="50"/>
  <c r="B123" i="50"/>
  <c r="A124" i="50"/>
  <c r="A123" i="50"/>
  <c r="A122" i="50"/>
  <c r="B120" i="50"/>
  <c r="B119" i="50"/>
  <c r="A120" i="50"/>
  <c r="A119" i="50"/>
  <c r="B117" i="50"/>
  <c r="B116" i="50"/>
  <c r="A117" i="50"/>
  <c r="A116" i="50"/>
  <c r="Z23" i="26"/>
  <c r="Z24" i="26"/>
  <c r="Z25" i="26"/>
  <c r="AA23" i="26"/>
  <c r="C110" i="50"/>
  <c r="K110" i="50" s="1"/>
  <c r="B112" i="50"/>
  <c r="B111" i="50"/>
  <c r="B110" i="50"/>
  <c r="A112" i="50"/>
  <c r="A111" i="50"/>
  <c r="A110" i="50"/>
  <c r="B108" i="50"/>
  <c r="B107" i="50"/>
  <c r="A108" i="50"/>
  <c r="A107" i="50"/>
  <c r="D105" i="50"/>
  <c r="B105" i="50"/>
  <c r="A105" i="50"/>
  <c r="B101" i="50"/>
  <c r="B100" i="50"/>
  <c r="B99" i="50"/>
  <c r="A101" i="50"/>
  <c r="A100" i="50"/>
  <c r="A99" i="50"/>
  <c r="B96" i="50"/>
  <c r="B95" i="50"/>
  <c r="B94" i="50"/>
  <c r="A96" i="50"/>
  <c r="A95" i="50"/>
  <c r="A94" i="50"/>
  <c r="B89" i="50"/>
  <c r="B92" i="50"/>
  <c r="B91" i="50"/>
  <c r="B90" i="50"/>
  <c r="A92" i="50"/>
  <c r="A91" i="50"/>
  <c r="A90" i="50"/>
  <c r="A89" i="50"/>
  <c r="B87" i="50"/>
  <c r="B86" i="50"/>
  <c r="B85" i="50"/>
  <c r="B84" i="50"/>
  <c r="A87" i="50"/>
  <c r="A86" i="50"/>
  <c r="A85" i="50"/>
  <c r="A84" i="50"/>
  <c r="B82" i="50"/>
  <c r="B81" i="50"/>
  <c r="A82" i="50"/>
  <c r="A81" i="50"/>
  <c r="B78" i="50"/>
  <c r="B79" i="50"/>
  <c r="A79" i="50"/>
  <c r="A78" i="50"/>
  <c r="B74" i="50"/>
  <c r="A74" i="50"/>
  <c r="B72" i="50"/>
  <c r="B71" i="50"/>
  <c r="B70" i="50"/>
  <c r="A72" i="50"/>
  <c r="A71" i="50"/>
  <c r="A70" i="50"/>
  <c r="D68" i="50"/>
  <c r="B68" i="50"/>
  <c r="A68" i="50"/>
  <c r="B65" i="50"/>
  <c r="B64" i="50"/>
  <c r="A65" i="50"/>
  <c r="A64" i="50"/>
  <c r="B62" i="50"/>
  <c r="A62" i="50"/>
  <c r="B60" i="50"/>
  <c r="B59" i="50"/>
  <c r="B58" i="50"/>
  <c r="B57" i="50"/>
  <c r="B56" i="50"/>
  <c r="A60" i="50"/>
  <c r="A59" i="50"/>
  <c r="A58" i="50"/>
  <c r="A57" i="50"/>
  <c r="A56" i="50"/>
  <c r="B54" i="50"/>
  <c r="B53" i="50"/>
  <c r="A54" i="50"/>
  <c r="A53" i="50"/>
  <c r="B51" i="50"/>
  <c r="B50" i="50"/>
  <c r="A51" i="50"/>
  <c r="A50" i="50"/>
  <c r="B48" i="50"/>
  <c r="B47" i="50"/>
  <c r="A48" i="50"/>
  <c r="A47" i="50"/>
  <c r="B45" i="50"/>
  <c r="B44" i="50"/>
  <c r="A45" i="50"/>
  <c r="A44" i="50"/>
  <c r="B41" i="50"/>
  <c r="B40" i="50"/>
  <c r="A41" i="50"/>
  <c r="A40" i="50"/>
  <c r="B38" i="50"/>
  <c r="B37" i="50"/>
  <c r="B36" i="50"/>
  <c r="B35" i="50"/>
  <c r="B34" i="50"/>
  <c r="A38" i="50"/>
  <c r="A37" i="50"/>
  <c r="A36" i="50"/>
  <c r="A35" i="50"/>
  <c r="A34" i="50"/>
  <c r="B32" i="50"/>
  <c r="B31" i="50"/>
  <c r="B30" i="50"/>
  <c r="B29" i="50"/>
  <c r="A32" i="50"/>
  <c r="A31" i="50"/>
  <c r="A30" i="50"/>
  <c r="A29" i="50"/>
  <c r="R8" i="50"/>
  <c r="R14" i="50"/>
  <c r="R15" i="50"/>
  <c r="S14" i="50"/>
  <c r="R17" i="50"/>
  <c r="R18" i="50"/>
  <c r="S17" i="50"/>
  <c r="R20" i="50"/>
  <c r="R21" i="50"/>
  <c r="S20" i="50"/>
  <c r="R24" i="50"/>
  <c r="R26" i="50"/>
  <c r="S26" i="50"/>
  <c r="D20" i="49"/>
  <c r="D173" i="50"/>
  <c r="D176" i="50"/>
  <c r="D185" i="50"/>
  <c r="E172" i="50"/>
  <c r="B19" i="49"/>
  <c r="D44" i="50"/>
  <c r="D50" i="50"/>
  <c r="D53" i="50"/>
  <c r="D56" i="50"/>
  <c r="D62" i="50"/>
  <c r="D64" i="50"/>
  <c r="D70" i="50"/>
  <c r="D74" i="50"/>
  <c r="E67" i="50"/>
  <c r="B7" i="49"/>
  <c r="D78" i="50"/>
  <c r="D81" i="50"/>
  <c r="D84" i="50"/>
  <c r="D89" i="50"/>
  <c r="D94" i="50"/>
  <c r="E77" i="50"/>
  <c r="B9" i="49"/>
  <c r="D99" i="50"/>
  <c r="E98" i="50"/>
  <c r="B10" i="49"/>
  <c r="D107" i="50"/>
  <c r="D116" i="50"/>
  <c r="D119" i="50"/>
  <c r="D122" i="50"/>
  <c r="D126" i="50"/>
  <c r="D129" i="50"/>
  <c r="E115" i="50"/>
  <c r="B14" i="49"/>
  <c r="D134" i="50"/>
  <c r="D137" i="50"/>
  <c r="D141" i="50"/>
  <c r="E133" i="50"/>
  <c r="B15" i="49"/>
  <c r="A26" i="50"/>
  <c r="B26" i="50"/>
  <c r="B23" i="50"/>
  <c r="B24" i="50"/>
  <c r="A23" i="50"/>
  <c r="A24" i="50"/>
  <c r="A20" i="50"/>
  <c r="B20" i="50"/>
  <c r="B21" i="50"/>
  <c r="A21" i="50"/>
  <c r="B18" i="50"/>
  <c r="B17" i="50"/>
  <c r="A18" i="50"/>
  <c r="A17" i="50"/>
  <c r="B15" i="50"/>
  <c r="A15" i="50"/>
  <c r="A14" i="50"/>
  <c r="A12" i="50"/>
  <c r="A11" i="50"/>
  <c r="A10" i="50"/>
  <c r="A8" i="50"/>
  <c r="A7" i="50"/>
  <c r="B14" i="50"/>
  <c r="B12" i="50"/>
  <c r="B11" i="50"/>
  <c r="B10" i="50"/>
  <c r="B8" i="50"/>
  <c r="B7" i="50"/>
  <c r="R110" i="50" l="1"/>
  <c r="L76" i="50"/>
  <c r="I9" i="49" s="1"/>
  <c r="I20" i="49" s="1"/>
  <c r="H76" i="50"/>
  <c r="E9" i="49" s="1"/>
  <c r="O9" i="49" s="1"/>
  <c r="H42" i="50"/>
  <c r="E6" i="49" s="1"/>
  <c r="Q27" i="50"/>
  <c r="N5" i="49" s="1"/>
  <c r="H27" i="50"/>
  <c r="E5" i="49" s="1"/>
  <c r="O5" i="49" s="1"/>
  <c r="H7" i="50"/>
  <c r="J7" i="50"/>
  <c r="J5" i="50" s="1"/>
  <c r="G4" i="49" s="1"/>
  <c r="U22" i="47"/>
  <c r="W22" i="47"/>
  <c r="Y22" i="47"/>
  <c r="T24" i="47"/>
  <c r="V24" i="47"/>
  <c r="X24" i="47"/>
  <c r="U8" i="20"/>
  <c r="V8" i="20" s="1"/>
  <c r="W8" i="20" s="1"/>
  <c r="X8" i="20" s="1"/>
  <c r="Y8" i="20" s="1"/>
  <c r="Z8" i="20"/>
  <c r="AA7" i="20" s="1"/>
  <c r="C47" i="50" s="1"/>
  <c r="Q66" i="50"/>
  <c r="N7" i="49" s="1"/>
  <c r="I99" i="50"/>
  <c r="K99" i="50"/>
  <c r="I101" i="50"/>
  <c r="K101" i="50"/>
  <c r="U9" i="46"/>
  <c r="V9" i="46" s="1"/>
  <c r="W9" i="46" s="1"/>
  <c r="X9" i="46" s="1"/>
  <c r="Y9" i="46" s="1"/>
  <c r="Z9" i="46"/>
  <c r="AA9" i="46" s="1"/>
  <c r="C147" i="50" s="1"/>
  <c r="T26" i="26"/>
  <c r="Z26" i="26" s="1"/>
  <c r="U27" i="26"/>
  <c r="V27" i="26" s="1"/>
  <c r="W27" i="26" s="1"/>
  <c r="X27" i="26" s="1"/>
  <c r="Y27" i="26" s="1"/>
  <c r="Z27" i="26"/>
  <c r="Q114" i="50"/>
  <c r="N14" i="49" s="1"/>
  <c r="O114" i="50"/>
  <c r="L14" i="49" s="1"/>
  <c r="L20" i="49" s="1"/>
  <c r="J114" i="50"/>
  <c r="G14" i="49" s="1"/>
  <c r="O14" i="49" s="1"/>
  <c r="O7" i="49"/>
  <c r="AA26" i="26" l="1"/>
  <c r="C111" i="50" s="1"/>
  <c r="Q147" i="50"/>
  <c r="D145" i="50"/>
  <c r="E144" i="50" s="1"/>
  <c r="B17" i="49" s="1"/>
  <c r="R101" i="50"/>
  <c r="K97" i="50"/>
  <c r="H10" i="49" s="1"/>
  <c r="I97" i="50"/>
  <c r="F10" i="49" s="1"/>
  <c r="R99" i="50"/>
  <c r="S99" i="50" s="1"/>
  <c r="T98" i="50" s="1"/>
  <c r="Q47" i="50"/>
  <c r="D47" i="50"/>
  <c r="E43" i="50" s="1"/>
  <c r="B6" i="49" s="1"/>
  <c r="Z24" i="47"/>
  <c r="Z22" i="47"/>
  <c r="AA22" i="47" s="1"/>
  <c r="C23" i="50" s="1"/>
  <c r="G20" i="49"/>
  <c r="H5" i="50"/>
  <c r="E4" i="49" s="1"/>
  <c r="E20" i="49" s="1"/>
  <c r="R7" i="50"/>
  <c r="S7" i="50" s="1"/>
  <c r="M23" i="50" l="1"/>
  <c r="M5" i="50" s="1"/>
  <c r="J4" i="49" s="1"/>
  <c r="J20" i="49" s="1"/>
  <c r="F23" i="50"/>
  <c r="D23" i="50"/>
  <c r="E6" i="50" s="1"/>
  <c r="B4" i="49" s="1"/>
  <c r="R47" i="50"/>
  <c r="S47" i="50" s="1"/>
  <c r="T43" i="50" s="1"/>
  <c r="Q42" i="50"/>
  <c r="N6" i="49" s="1"/>
  <c r="F20" i="49"/>
  <c r="O10" i="49"/>
  <c r="R147" i="50"/>
  <c r="S145" i="50" s="1"/>
  <c r="T144" i="50" s="1"/>
  <c r="Q143" i="50"/>
  <c r="N17" i="49" s="1"/>
  <c r="O17" i="49" s="1"/>
  <c r="F111" i="50"/>
  <c r="K111" i="50"/>
  <c r="K103" i="50" s="1"/>
  <c r="H12" i="49" s="1"/>
  <c r="H20" i="49" s="1"/>
  <c r="D110" i="50"/>
  <c r="E104" i="50" s="1"/>
  <c r="B12" i="49" s="1"/>
  <c r="R111" i="50" l="1"/>
  <c r="S110" i="50" s="1"/>
  <c r="T104" i="50" s="1"/>
  <c r="F103" i="50"/>
  <c r="C12" i="49" s="1"/>
  <c r="O12" i="49" s="1"/>
  <c r="N20" i="49"/>
  <c r="O6" i="49"/>
  <c r="B20" i="49"/>
  <c r="F5" i="50"/>
  <c r="C4" i="49" s="1"/>
  <c r="R23" i="50"/>
  <c r="S23" i="50" s="1"/>
  <c r="T6" i="50" s="1"/>
  <c r="O4" i="49" l="1"/>
  <c r="O20" i="49" s="1"/>
  <c r="C20"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s>
  <commentList>
    <comment ref="Q23" authorId="0" shapeId="0" xr:uid="{00000000-0006-0000-0200-000001000000}">
      <text>
        <r>
          <rPr>
            <b/>
            <sz val="10"/>
            <color indexed="81"/>
            <rFont val="Calibri"/>
            <family val="2"/>
          </rPr>
          <t>Valor por docente categoria asistente vigencia 2020</t>
        </r>
      </text>
    </comment>
    <comment ref="U23" authorId="0" shapeId="0" xr:uid="{00000000-0006-0000-0200-000002000000}">
      <text>
        <r>
          <rPr>
            <b/>
            <sz val="10"/>
            <color indexed="81"/>
            <rFont val="Calibri"/>
            <family val="2"/>
          </rPr>
          <t xml:space="preserve">Datos suministrados por Vicerrectoria Administrativa y financiera </t>
        </r>
      </text>
    </comment>
    <comment ref="Y23" authorId="0" shapeId="0" xr:uid="{00000000-0006-0000-0200-000003000000}">
      <text>
        <r>
          <rPr>
            <b/>
            <sz val="10"/>
            <color indexed="81"/>
            <rFont val="Calibri"/>
            <family val="2"/>
          </rPr>
          <t>Datos suministrados por vicerrectoria administrativa y financiera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Q22" authorId="0" shapeId="0" xr:uid="{00000000-0006-0000-0400-000001000000}">
      <text>
        <r>
          <rPr>
            <sz val="9"/>
            <color indexed="81"/>
            <rFont val="Tahoma"/>
            <family val="2"/>
          </rPr>
          <t xml:space="preserve">CONTRATACION DE LA BOLSA DE EMPLEO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Cielo Gómez Bustos</author>
  </authors>
  <commentList>
    <comment ref="J9" authorId="0" shapeId="0" xr:uid="{00000000-0006-0000-0500-000001000000}">
      <text>
        <r>
          <rPr>
            <b/>
            <sz val="9"/>
            <color indexed="81"/>
            <rFont val="Tahoma"/>
            <family val="2"/>
          </rPr>
          <t>Cielo Gómez Bustos:</t>
        </r>
        <r>
          <rPr>
            <sz val="9"/>
            <color indexed="81"/>
            <rFont val="Tahoma"/>
            <family val="2"/>
          </rPr>
          <t xml:space="preserve">
Ninguno porque todos los programas estan en primera autoevaluación de sus registros renovados, rwquisito para demorstrar condiciones iniciales</t>
        </r>
      </text>
    </comment>
    <comment ref="K9" authorId="0" shapeId="0" xr:uid="{00000000-0006-0000-0500-000002000000}">
      <text>
        <r>
          <rPr>
            <b/>
            <sz val="9"/>
            <color indexed="81"/>
            <rFont val="Tahoma"/>
            <family val="2"/>
          </rPr>
          <t>Cielo Gómez Bustos:</t>
        </r>
        <r>
          <rPr>
            <sz val="9"/>
            <color indexed="81"/>
            <rFont val="Tahoma"/>
            <family val="2"/>
          </rPr>
          <t xml:space="preserve">
Ing Sistemas</t>
        </r>
      </text>
    </comment>
    <comment ref="J10" authorId="0" shapeId="0" xr:uid="{00000000-0006-0000-0500-000003000000}">
      <text>
        <r>
          <rPr>
            <b/>
            <sz val="9"/>
            <color indexed="81"/>
            <rFont val="Tahoma"/>
            <family val="2"/>
          </rPr>
          <t>Cielo Gómez Bustos:</t>
        </r>
        <r>
          <rPr>
            <sz val="9"/>
            <color indexed="81"/>
            <rFont val="Tahoma"/>
            <family val="2"/>
          </rPr>
          <t xml:space="preserve">
Hasta no terminar la autoevaluación no se tienen indicadores de impacto con la nueva norma de acreditación</t>
        </r>
      </text>
    </comment>
    <comment ref="F11" authorId="0" shapeId="0" xr:uid="{00000000-0006-0000-0500-000004000000}">
      <text>
        <r>
          <rPr>
            <b/>
            <sz val="9"/>
            <color indexed="81"/>
            <rFont val="Tahoma"/>
            <family val="2"/>
          </rPr>
          <t>Cielo Gómez Bustos:</t>
        </r>
        <r>
          <rPr>
            <sz val="9"/>
            <color indexed="81"/>
            <rFont val="Tahoma"/>
            <family val="2"/>
          </rPr>
          <t xml:space="preserve">
Acumulables</t>
        </r>
      </text>
    </comment>
    <comment ref="J11" authorId="0" shapeId="0" xr:uid="{00000000-0006-0000-0500-000005000000}">
      <text>
        <r>
          <rPr>
            <b/>
            <sz val="9"/>
            <color indexed="81"/>
            <rFont val="Tahoma"/>
            <family val="2"/>
          </rPr>
          <t>Cielo Gómez Bustos:</t>
        </r>
        <r>
          <rPr>
            <sz val="9"/>
            <color indexed="81"/>
            <rFont val="Tahoma"/>
            <family val="2"/>
          </rPr>
          <t xml:space="preserve">
Ing Electrónica</t>
        </r>
      </text>
    </comment>
    <comment ref="K11" authorId="0" shapeId="0" xr:uid="{00000000-0006-0000-0500-000006000000}">
      <text>
        <r>
          <rPr>
            <b/>
            <sz val="9"/>
            <color indexed="81"/>
            <rFont val="Tahoma"/>
            <family val="2"/>
          </rPr>
          <t>Cielo Gómez Bustos:</t>
        </r>
        <r>
          <rPr>
            <sz val="9"/>
            <color indexed="81"/>
            <rFont val="Tahoma"/>
            <family val="2"/>
          </rPr>
          <t xml:space="preserve">
Ing Electromecánica
Ing Telecomunicaciones</t>
        </r>
      </text>
    </comment>
    <comment ref="F13" authorId="0" shapeId="0" xr:uid="{00000000-0006-0000-0500-000007000000}">
      <text>
        <r>
          <rPr>
            <b/>
            <sz val="9"/>
            <color indexed="81"/>
            <rFont val="Tahoma"/>
            <family val="2"/>
          </rPr>
          <t>Cielo Gómez Bustos:</t>
        </r>
        <r>
          <rPr>
            <sz val="9"/>
            <color indexed="81"/>
            <rFont val="Tahoma"/>
            <family val="2"/>
          </rPr>
          <t xml:space="preserve">
No es acumulable</t>
        </r>
      </text>
    </comment>
    <comment ref="I13" authorId="0" shapeId="0" xr:uid="{00000000-0006-0000-0500-000008000000}">
      <text>
        <r>
          <rPr>
            <b/>
            <sz val="9"/>
            <color indexed="81"/>
            <rFont val="Tahoma"/>
            <family val="2"/>
          </rPr>
          <t>Cielo Gómez Bustos:</t>
        </r>
        <r>
          <rPr>
            <sz val="9"/>
            <color indexed="81"/>
            <rFont val="Tahoma"/>
            <family val="2"/>
          </rPr>
          <t xml:space="preserve">
1. Plan Institucional de Mejoramiento Continuo para alta calidad 2015-2020
2, Plan de mejoramiento de la autoevaluación inst.
3. Plan de mejora de Electrónica- acreditación
4. Plan de mejoramiento de autoevaluación Modas
5. Plan de Mejoramiento Ing Eléctrica</t>
        </r>
      </text>
    </comment>
    <comment ref="J13" authorId="0" shapeId="0" xr:uid="{00000000-0006-0000-0500-000009000000}">
      <text>
        <r>
          <rPr>
            <b/>
            <sz val="9"/>
            <color indexed="81"/>
            <rFont val="Tahoma"/>
            <family val="2"/>
          </rPr>
          <t>Cielo Gómez Bustos:</t>
        </r>
        <r>
          <rPr>
            <sz val="9"/>
            <color indexed="81"/>
            <rFont val="Tahoma"/>
            <family val="2"/>
          </rPr>
          <t xml:space="preserve">
1. Plan de mejora de Electromecanica, telecomunicaciones- acreditación
2. Plan de mejora de Telecomunicaciones- acreditación
6. Plan de mejoramiento programas renovados 1 autoevaluación</t>
        </r>
      </text>
    </comment>
    <comment ref="K13" authorId="0" shapeId="0" xr:uid="{00000000-0006-0000-0500-00000A000000}">
      <text>
        <r>
          <rPr>
            <b/>
            <sz val="9"/>
            <color indexed="81"/>
            <rFont val="Tahoma"/>
            <family val="2"/>
          </rPr>
          <t>Cielo Gómez Bustos:</t>
        </r>
        <r>
          <rPr>
            <sz val="9"/>
            <color indexed="81"/>
            <rFont val="Tahoma"/>
            <family val="2"/>
          </rPr>
          <t xml:space="preserve">
1. Ing Sistemas acredit
2. Contaduría  autoe
3. Banca 1 autoe</t>
        </r>
      </text>
    </comment>
    <comment ref="L13" authorId="0" shapeId="0" xr:uid="{00000000-0006-0000-0500-00000B000000}">
      <text>
        <r>
          <rPr>
            <b/>
            <sz val="9"/>
            <color indexed="81"/>
            <rFont val="Tahoma"/>
            <family val="2"/>
          </rPr>
          <t>Cielo Gómez Bustos:</t>
        </r>
        <r>
          <rPr>
            <sz val="9"/>
            <color indexed="81"/>
            <rFont val="Tahoma"/>
            <family val="2"/>
          </rPr>
          <t xml:space="preserve">
1 autoe ACREDI
2 Autoeval 1
9 Autoeva 2</t>
        </r>
      </text>
    </comment>
    <comment ref="M13" authorId="0" shapeId="0" xr:uid="{00000000-0006-0000-0500-00000C000000}">
      <text>
        <r>
          <rPr>
            <b/>
            <sz val="9"/>
            <color indexed="81"/>
            <rFont val="Tahoma"/>
            <family val="2"/>
          </rPr>
          <t>Cielo Gómez Bustos:</t>
        </r>
        <r>
          <rPr>
            <sz val="9"/>
            <color indexed="81"/>
            <rFont val="Tahoma"/>
            <family val="2"/>
          </rPr>
          <t xml:space="preserve">
2. acredit
2. Contaduría  2 autoe
3. Banca 2 autoe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Juan Carlos</author>
  </authors>
  <commentList>
    <comment ref="Q15" authorId="0" shapeId="0" xr:uid="{00000000-0006-0000-0A00-000001000000}">
      <text>
        <r>
          <rPr>
            <b/>
            <sz val="9"/>
            <color indexed="81"/>
            <rFont val="Tahoma"/>
            <family val="2"/>
          </rPr>
          <t>Juan Carlos:</t>
        </r>
        <r>
          <rPr>
            <sz val="9"/>
            <color indexed="81"/>
            <rFont val="Tahoma"/>
            <family val="2"/>
          </rPr>
          <t xml:space="preserve">
Prestación de servicio para la contratación de un experto en ese tipo de enseñanza.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Q13" authorId="0" shapeId="0" xr:uid="{00000000-0006-0000-0C00-000001000000}">
      <text>
        <r>
          <rPr>
            <sz val="9"/>
            <color indexed="81"/>
            <rFont val="Tahoma"/>
            <family val="2"/>
          </rPr>
          <t>10.000.000 recursos solidos y 10.000.000. para vegetacion.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s>
  <commentList>
    <comment ref="Q6" authorId="0" shapeId="0" xr:uid="{00000000-0006-0000-0D00-000001000000}">
      <text>
        <r>
          <rPr>
            <b/>
            <sz val="10"/>
            <color indexed="81"/>
            <rFont val="Calibri"/>
            <family val="2"/>
          </rPr>
          <t xml:space="preserve">1800000 por persona para capacitacion .. Minimo 6 </t>
        </r>
      </text>
    </comment>
    <comment ref="Q21" authorId="0" shapeId="0" xr:uid="{00000000-0006-0000-0D00-000002000000}">
      <text>
        <r>
          <rPr>
            <b/>
            <sz val="10"/>
            <color indexed="81"/>
            <rFont val="Calibri"/>
            <family val="2"/>
          </rPr>
          <t xml:space="preserve">PARA 10 PARAMETROS </t>
        </r>
      </text>
    </comment>
  </commentList>
</comments>
</file>

<file path=xl/sharedStrings.xml><?xml version="1.0" encoding="utf-8"?>
<sst xmlns="http://schemas.openxmlformats.org/spreadsheetml/2006/main" count="2027" uniqueCount="845">
  <si>
    <t>PROYECTOS</t>
  </si>
  <si>
    <t>ESTIMACIÓN DE COSTOS</t>
  </si>
  <si>
    <t>FUENTES DE FINANCIACIÓN</t>
  </si>
  <si>
    <t>TOTAL DE LA LÍNEA ESTRATÉGICA</t>
  </si>
  <si>
    <t xml:space="preserve"> RECURSOS PROPIOS DE INVERSION </t>
  </si>
  <si>
    <t>RECURSOS PROPIOS BIBLIOTECA</t>
  </si>
  <si>
    <t>RECURSOS POR INVESTIGACIÓN BÁSICA Y APLICADA</t>
  </si>
  <si>
    <t>RECURSOS PROYECCION SOCIAL</t>
  </si>
  <si>
    <t xml:space="preserve">RECURSOS DE BIENESTAR INSTITUCIONAL </t>
  </si>
  <si>
    <t>RECURSOS DE FUNCIONAMIENTO</t>
  </si>
  <si>
    <t>RECURSOS PRO UIS</t>
  </si>
  <si>
    <t>ORDENANZA DEPARTAMENTAL SMMLV</t>
  </si>
  <si>
    <t>CONVENIOS INTERADMINISTRATIVOS GOBERNACIÓN</t>
  </si>
  <si>
    <t>RECURSOS DE LA NACIÓN</t>
  </si>
  <si>
    <t>OTROS PROGRAMAS DE INVERSION</t>
  </si>
  <si>
    <t>NO APLICA PARA FUENTE DE INVERSION</t>
  </si>
  <si>
    <t>FINANCIACIÓN TOTAL</t>
  </si>
  <si>
    <t>EJE ESTRATÉGICO 1:  UTS DEL CONOCIMIENTO</t>
  </si>
  <si>
    <t>LINEA ESTRATÉGICA 1.1  EXCELENCIA ACADÉMICA</t>
  </si>
  <si>
    <t>LINEA ESTRATÉGICA 1.2  CIENCIA E INVESTIGACIÓN</t>
  </si>
  <si>
    <t>LINEA ESTRATÉGICA 1.3  EXTENSIÓN Y GESTIÓN SOCIAL</t>
  </si>
  <si>
    <t>LINEA ESTRATÉGICA 1.4  ASEGURAMIENTO DE LA CALIDAD DE LA EDUCACIÓN</t>
  </si>
  <si>
    <t>EJE ESTRATÉGICO 2:  UTS INNOVA</t>
  </si>
  <si>
    <t>LINEA ESTRATÉGICA 2.5  INNOVACIÓN Y PRODUCTIVIDAD</t>
  </si>
  <si>
    <t>LINEA ESTRATÉGICA 2.6  EMPRENDIMIENTO, CREATIVIDAD Y COMPETITIVIDAD</t>
  </si>
  <si>
    <t>EJE ESTRATÉGICO 3:  UTS GLOBAL</t>
  </si>
  <si>
    <t>LINEA ESTRATÉGICA 3.7  INTERNACIONALIZACIÓN, VISIBILIDAD E IMPACTO</t>
  </si>
  <si>
    <t>EJE ESTRATÉGICO 4:  UTS HUMANA</t>
  </si>
  <si>
    <t>LINEA ESTRATÉGICA 4.8  COMUNIDAD Y CULTURA INSTITUCIONAL</t>
  </si>
  <si>
    <t>LINEA ESTRATÉGICA 4.9  DIVERSIDAD E INCLUSIÓN</t>
  </si>
  <si>
    <t>EJE ESTRATÉGICO 5:  UTS SOSTENIBLE</t>
  </si>
  <si>
    <t>LINEA ESTRATÉGICA 5.10  GOBERNABILIDAD Y GOBERNANZA</t>
  </si>
  <si>
    <t>LINEA ESTRATÉGICA 5.11  DESARROLLO, GESTIÓN Y SOSTENIBILIDAD</t>
  </si>
  <si>
    <t>LINEA ESTRATÉGICA 5.12  GESTIÓN INTEGRAL INSTITUCIONAL</t>
  </si>
  <si>
    <t>TOTALES</t>
  </si>
  <si>
    <t>PRIORIDAD</t>
  </si>
  <si>
    <t>COSTO TOTAL DEL PROYECTO
(7 AÑOS)</t>
  </si>
  <si>
    <t>COSTO TOTAL 
DEL PROGRAMA</t>
  </si>
  <si>
    <t>COSTO TOTAL 
DE LA LÍNEA ESTRATÉGICA</t>
  </si>
  <si>
    <t>FINANCIACIÓN 
DEL PROYECTO</t>
  </si>
  <si>
    <t>FINANCIACIÓN 
DEL PROGRAMA</t>
  </si>
  <si>
    <t>FINANCIACIÓN DE LA 
LÍNEA ESTRATÉGICA</t>
  </si>
  <si>
    <t>PROGRAMA 1.1.1  EDUCACIÓN INCLUYENTE Y DE CALIDAD PARA TODOS</t>
  </si>
  <si>
    <t>PROGRAMA 1.1.2  EL CURRICULO EN LA DINÁMICA EDUCATIVA</t>
  </si>
  <si>
    <t xml:space="preserve">PROGRAMA 1.1.3  ACADEMIA COMPETITIVA Y EFICIENTE     </t>
  </si>
  <si>
    <t>PROGRAMA 1.1.4  OFERTAS ACADÉMICAS</t>
  </si>
  <si>
    <t>PROGRAMA 1.1.5  GESTIÓN ACADÉMICA INTEGRAL</t>
  </si>
  <si>
    <t>PROGRAMA 1.1.6 VINCULACIÓN Y PERFECCIONAMIENTO DOCENTE</t>
  </si>
  <si>
    <t>PROGRAMA 1.1.7  AMBIENTES DE APRENDIZAJE</t>
  </si>
  <si>
    <t>PROGRAMA 1.2.1  GESTIÓN DEL CONOCIMIENTO</t>
  </si>
  <si>
    <t>PROGRAMA 1.2.2  PRODUCCIÓN ACADÉMICA, CIENTÍFICA Y TECNOLÓGICA</t>
  </si>
  <si>
    <t>PROGRAMA 1.2.3  LABORATORIO DE CULTURA CIUDADANA</t>
  </si>
  <si>
    <t>PROGRAMA 1.3.1  ACADEMIA Y ENTORNO</t>
  </si>
  <si>
    <t>PROGRAMA 1.3.2  PROYECTOS Y SERVICIOS DE PROYECCIÓN SOCIAL</t>
  </si>
  <si>
    <t>PROGRAMA 1.3.3  IMPACTO SOCIAL Y ACADÉMICO</t>
  </si>
  <si>
    <t>PROGRAMA 1.3.4  INTERCAMBIO DE EXPERIENCIAS ACADÉMICAS Y CIENTÍFICAS</t>
  </si>
  <si>
    <t>PROGRAMA 1.3.5  SEGUIMIENTO Y ACOMPAÑAMIENTO A GRADUADOS</t>
  </si>
  <si>
    <t>PROGRAMA 1.3.6  ACTUALIZACIÓN DE CONOCIMIENTO Y EDUCACIÓN CONTINUA</t>
  </si>
  <si>
    <t>PROGRAMA 1.3.7  OFERTA DE SERVICIOS E INFORMACIÓN</t>
  </si>
  <si>
    <t>PROGRAMA 1.4.1  CULTURA DE LA CALIDAD EDUCATIVA</t>
  </si>
  <si>
    <t>PROGRAMA 1.4.2  AUTOEVALUACIÓN Y AUTORREGULACIÓN</t>
  </si>
  <si>
    <t>PROGRAMA 1.4.3  GESTIÓN DE LA INFORMACIÓN ACADÉMICA</t>
  </si>
  <si>
    <t>PROGRAMA 2.5.1  UTSmart</t>
  </si>
  <si>
    <t xml:space="preserve">PROGRAMA 2.5.2  INNOVACIÓN PEDAGÓGICA </t>
  </si>
  <si>
    <t xml:space="preserve">PROGRAMA 2.5.3  INNOVACIÓN EN INVESTIGACIÓN </t>
  </si>
  <si>
    <t>PROGRAMA 2.5.4  INNOVACIÓN ORGANIZACIONAL</t>
  </si>
  <si>
    <t>PROGRAMA 2.5.5  CENTRO DE INNOVACIÓN Y PRODUCTIVIDAD - CIP</t>
  </si>
  <si>
    <t>PROGRAMA 2.6.1  CENTRO ACADÉMICO PARA EL FOMENTO DEL EMPRENDIMIENTO - CAFE UTS</t>
  </si>
  <si>
    <t>PROGRAMA 3.7.1  COOPERACIÓN NACIONAL E INTERNACIONAL</t>
  </si>
  <si>
    <t>PROGRAMA 3.7.2  MULTILINGÜISMO Y MULTICULTURALIDAD</t>
  </si>
  <si>
    <t>PROGRAMA 3.7.3  MOVILIDAD E INTERACCIÓN CON EL ENTORNO</t>
  </si>
  <si>
    <t>PROGRAMA 4.8.1  DESARROLLO HUMANO INTEGRAL</t>
  </si>
  <si>
    <t>PROGRAMA 4.8.2  CULTURA Y PROMOCIÓN ARTÍSTICA</t>
  </si>
  <si>
    <t>PROGRAMA 4.8.3  ACTIVIDAD FÍSICA Y DEPORTE</t>
  </si>
  <si>
    <t>PROGRAMA 4.8.4  PROMOCIÓN Y PREVENCIÓN EN SALUD</t>
  </si>
  <si>
    <t>PROGRAMA 4.8.5  ACOMPAÑAMIENTO Y PERMANENCIA</t>
  </si>
  <si>
    <t>PROGRAMA 4.9.1  MULTICULTURALIDAD SIN DISTINCIÓN</t>
  </si>
  <si>
    <t>PROGRAMA 4.9.2  EQUIDAD, GÉNERO Y DIVERSIDAD EN EDUCACIÓN</t>
  </si>
  <si>
    <t>PROGRAMA 4.9.3  INCLUSIÓN SOCIAL, DESARROLLO REGIONAL Y PROYECCIÓN COMUNITARIA</t>
  </si>
  <si>
    <t>PROGRAMA 5.10.1  GESTIÓN INSTITUCIONAL</t>
  </si>
  <si>
    <t>PROGRAMA 5.10.2  CULTURA ORGANIZACIONAL Y DESARROLLO DEL TALENTO HUMANO</t>
  </si>
  <si>
    <t>PROGRAMA 5.10.3  REPRESENTATIVIDAD EFECTIVA</t>
  </si>
  <si>
    <t>PROGRAMA 5.10.4  GOBIERNO, TRANSPARENCIA Y PARTICIPACIÓN</t>
  </si>
  <si>
    <t>PROGRAMA 5.10.5  COMUNICACIÓN Y DIFUSIÓN DE LA INFORMACIÓN</t>
  </si>
  <si>
    <t>PROGRAMA 5.11.1  EFICIENCIA Y SOSTENIBILIDAD FINANCIERA</t>
  </si>
  <si>
    <t>PROGRAMA 5.11.2  GESTIÓN, COMPROMISO Y SOSTENIBILIDAD AMBIENTAL</t>
  </si>
  <si>
    <t>PROGRAMA 5.11.3  RESPONSABILIDAD Y SOSTENIBILIDAD  SOCIAL</t>
  </si>
  <si>
    <t>PROGRAMA 5.12.1  CONOCIMIENTO DE LA GESTIÓN INSTITUCIONAL</t>
  </si>
  <si>
    <t>PROGRAMA 5.12.2  SISTEMAS INTEGRADOS DE GESTIÓN</t>
  </si>
  <si>
    <t>PROGRAMA 5.12.3  PLANEACIÓN Y GESTIÓN</t>
  </si>
  <si>
    <t>PROGRAMA 5.12.4  SEGUIMIENTO Y CONTROL</t>
  </si>
  <si>
    <t xml:space="preserve">PLAN FINANCIERO Y DE INVERSIONES - PEDI </t>
  </si>
  <si>
    <t xml:space="preserve">PROGRAMA </t>
  </si>
  <si>
    <t>PROYECTO</t>
  </si>
  <si>
    <t>RESPONSABLE</t>
  </si>
  <si>
    <t>TIPO DE INDICADOR</t>
  </si>
  <si>
    <t>INDICADOR</t>
  </si>
  <si>
    <t>FRECUENCIA DE CUMPLIMIENTO</t>
  </si>
  <si>
    <r>
      <t>MEDICIÓN DE LAS METAS
(</t>
    </r>
    <r>
      <rPr>
        <sz val="10"/>
        <color theme="1"/>
        <rFont val="Calibri"/>
        <family val="2"/>
        <scheme val="minor"/>
      </rPr>
      <t>Anual o Acumulado)</t>
    </r>
  </si>
  <si>
    <t>LINEA BASE</t>
  </si>
  <si>
    <t>METAS</t>
  </si>
  <si>
    <t>COSTO ESTIMADO DEL INDICADOR POR AÑO</t>
  </si>
  <si>
    <t>IPC</t>
  </si>
  <si>
    <t>ESTIMACIÓN COSTOS ANUALES POR INDICADOR</t>
  </si>
  <si>
    <t>ESTIMACIÓN COSTOS TOTALES POR INDICADOR</t>
  </si>
  <si>
    <t>ESTIMACIÓN COSTOS TOTALES POR PROYECTO</t>
  </si>
  <si>
    <t>EDUCACIÓN INCLUYENTE Y DE CALIDAD PARA TODOS</t>
  </si>
  <si>
    <t xml:space="preserve">Participación de la comunidad académica en espacios de producción, difusión e intercambio de conocimientos disciplinares, pedagógicos y científicos, discusión académica sobre problemáticas sociales, culturales, económicas, tecnológicas entre otras.  </t>
  </si>
  <si>
    <t>Decanaturas de Facultad
Oficina de Desarrollo Académico
Dirección de Investigaciones y Extensión
Grupo de Departamentos</t>
  </si>
  <si>
    <t>MEDIA
(71%)</t>
  </si>
  <si>
    <t>EFICIENCIA</t>
  </si>
  <si>
    <t>Porcentaje de participación estudiantes respecto al número de estudiantes matriculados.</t>
  </si>
  <si>
    <t>SEMESTRAL</t>
  </si>
  <si>
    <t>ANUAL</t>
  </si>
  <si>
    <t xml:space="preserve">RECURSOS POR INVESTIGACIÓN BÁSICA Y APLICADA
FUENTE BIENESTAR INSTITUCIONAL </t>
  </si>
  <si>
    <t>Porcentaje de participación docentes respecto al número de docentes contratados.</t>
  </si>
  <si>
    <r>
      <rPr>
        <sz val="10"/>
        <rFont val="Calibri"/>
        <family val="2"/>
        <scheme val="minor"/>
      </rPr>
      <t xml:space="preserve">Desarrollo de espacios reflexivos sobre una educación </t>
    </r>
    <r>
      <rPr>
        <sz val="10"/>
        <color theme="1"/>
        <rFont val="Calibri"/>
        <family val="2"/>
        <scheme val="minor"/>
      </rPr>
      <t xml:space="preserve">innovadora e inclusiva que dinamice la formación integral de los estudiantes. </t>
    </r>
  </si>
  <si>
    <t>Decanaturas de Facultad
Oficina de Desarrollo Académico.</t>
  </si>
  <si>
    <t>ALTA
(87%)</t>
  </si>
  <si>
    <t>PRODUCTO</t>
  </si>
  <si>
    <t>Número de memorias generadas en los espacios de reflexión</t>
  </si>
  <si>
    <t>EL CURRÍCULO EN LA DINÁMICA EDUCATIVA</t>
  </si>
  <si>
    <r>
      <rPr>
        <sz val="10"/>
        <rFont val="Calibri"/>
        <family val="2"/>
        <scheme val="minor"/>
      </rPr>
      <t>Fortalecer</t>
    </r>
    <r>
      <rPr>
        <sz val="10"/>
        <color theme="1"/>
        <rFont val="Calibri"/>
        <family val="2"/>
        <scheme val="minor"/>
      </rPr>
      <t xml:space="preserve"> la articulación de manera sistémica de la ciencia, la tecnología, la innovación y la creatividad  o la educación en los procesos misionales de la Institución.</t>
    </r>
  </si>
  <si>
    <t>Decanaturas de Facultad
Oficina de Desarrollo Académico
Dirección de Investigaciones y Extensión</t>
  </si>
  <si>
    <t>ALTA
(100%)</t>
  </si>
  <si>
    <t>Porcentaje  de productos sobre ciencia,  tecnología,  innovación o  educación, destacados en la institución respecto a productos presentados.</t>
  </si>
  <si>
    <t xml:space="preserve">Formular e Implementar estrategias de acompañamiento para el desarrollo de habilidades blandas y competencias para la vida, dirigidas a estudiantes, con el fin de promover el autoconocimiento, la capacidad de relacionarse y comunicarse asertivamente con los demás y el entorno.  </t>
  </si>
  <si>
    <t>Oficina de Desarrollo Académico.
Decanaturas de Facultad
Grupo Departamentos de Humanidades
Grupo Departamento de Idiomas
Grupo de Educación Virtual y TIC</t>
  </si>
  <si>
    <t>MEDIA
(67%)</t>
  </si>
  <si>
    <t>Porcentaje de estudiantes con acompañamiento para el desarrollo de habilidades y competencias para la vida, respecto al número de estudiantes matriculados.</t>
  </si>
  <si>
    <r>
      <t>Fomentar la internacionalización del currículo en función de la doble titulación.</t>
    </r>
    <r>
      <rPr>
        <sz val="10"/>
        <color rgb="FFFF0000"/>
        <rFont val="Calibri"/>
        <family val="2"/>
        <scheme val="minor"/>
      </rPr>
      <t/>
    </r>
  </si>
  <si>
    <t xml:space="preserve">Decanaturas de Facultad 
Oficina de Desarrollo Académico .                  Oficina de Relaciones Interinstitucionales e Internacionales. </t>
  </si>
  <si>
    <t xml:space="preserve">Estudio curricular que favorezca la doble titulación. </t>
  </si>
  <si>
    <t>Existe un Lineamiento</t>
  </si>
  <si>
    <t xml:space="preserve">ACADEMIA COMPETITIVA Y EFICIENTE     </t>
  </si>
  <si>
    <t>Fortalecer la evaluación curricular en los  criterios de pertinencia, congruencia, transcendencia y equidad de los programas académicos.</t>
  </si>
  <si>
    <t>Documentos aprobados de evaluación curricular bajo criterios y lineamientos institucionales.</t>
  </si>
  <si>
    <t>Todos los programas</t>
  </si>
  <si>
    <t xml:space="preserve">Fortalecer los resultados de las pruebas Saber T y T y Saber PRO en los estudiantes de nivel tecnológico y profesional, habilitados para la presentación de la prueba. </t>
  </si>
  <si>
    <t>Puntos de resultados de la prueba Saber TyT por programas académicos por encima de la media nacional.</t>
  </si>
  <si>
    <t>ACUMULADO</t>
  </si>
  <si>
    <t>UTS
6 puntos por encima de la media nacional</t>
  </si>
  <si>
    <t>8 puntos</t>
  </si>
  <si>
    <t>10 puntos</t>
  </si>
  <si>
    <t>12 puntos</t>
  </si>
  <si>
    <t>14 puntos</t>
  </si>
  <si>
    <t>16 puntos</t>
  </si>
  <si>
    <t>18 puntos</t>
  </si>
  <si>
    <t>20 puntos</t>
  </si>
  <si>
    <t>Puntos de resultados de la prueba SABER PRO por programas académicos por encima de la media nacional.</t>
  </si>
  <si>
    <t>UTS
5 puntos por debajo de la media nacional</t>
  </si>
  <si>
    <t>-3 puntos</t>
  </si>
  <si>
    <t>-1 puntos</t>
  </si>
  <si>
    <t>1 puntos</t>
  </si>
  <si>
    <t>3 puntos</t>
  </si>
  <si>
    <t>5 puntos</t>
  </si>
  <si>
    <t>7 puntos</t>
  </si>
  <si>
    <t>9 puntos</t>
  </si>
  <si>
    <t xml:space="preserve">OFERTAS ACADÉMICAS 
</t>
  </si>
  <si>
    <t>Fortalecer la oferta de programas académicos en modalidad presencial o virtual que contribuyan al desarrollo social y económico de las regiones.</t>
  </si>
  <si>
    <t>Decanaturas de Facultad
Dirección de Regionalización
Oficina de Autoevaluación y Calidad.
Oficina de desarrollo Académico     
Dirección de Investigaciones y Extensión</t>
  </si>
  <si>
    <t>ALTA
(80%)</t>
  </si>
  <si>
    <t>Radicación de Documento Maestro de programas nuevos y en renovación ante el MEN.</t>
  </si>
  <si>
    <t xml:space="preserve">Aumentar el número de estudiantes matriculados en los programas académicos de la institución. </t>
  </si>
  <si>
    <t>Decanaturas de Facultad                        Dirección de Regionalización</t>
  </si>
  <si>
    <t xml:space="preserve">Número de estudiantes matriculados promedio anual en los programas académicos. </t>
  </si>
  <si>
    <t>18000 promedio (2020)</t>
  </si>
  <si>
    <t>GESTIÓN ACADÉMICA INTEGRAL</t>
  </si>
  <si>
    <r>
      <t>Fortalecer los procesos de selección, permanencia, promoción, evaluación y pronta graduación de estudiantes,</t>
    </r>
    <r>
      <rPr>
        <sz val="10"/>
        <rFont val="Calibri"/>
        <family val="2"/>
        <scheme val="minor"/>
      </rPr>
      <t xml:space="preserve"> (atendiendo la diversidad y multiculturalidad de la población, enfoque de género, personas en situación de discapacidad).</t>
    </r>
  </si>
  <si>
    <t>Decanaturas de Facultad
Oficina de Desarrollo académico.</t>
  </si>
  <si>
    <t>MEDIA
(60%)</t>
  </si>
  <si>
    <t>Porcentaje de estudiantes matriculados sobre los inscritos.</t>
  </si>
  <si>
    <t>Porcentaje de permanencia.</t>
  </si>
  <si>
    <t>Porcentaje de pronta graduación.</t>
  </si>
  <si>
    <t>EFICACIA</t>
  </si>
  <si>
    <t>Porcentaje de estudiantes del primer nivel de formación propedéutica que presentan pruebas diagnósticas en la institución.</t>
  </si>
  <si>
    <t>Porcentaje de estudiantes  del primer nivel de formación propedéutica que presentan prueba contraste.</t>
  </si>
  <si>
    <t>Fortalecer mecanismos de seguimiento y acompañamiento a la gestión académica de estudiantes.</t>
  </si>
  <si>
    <t xml:space="preserve">
Porcentaje de estudiantes beneficiados en tutorías abiertas y monitoría de pares.
</t>
  </si>
  <si>
    <t>VINCULACIÓN Y PERFECCIONAMIENTO DOCENTE</t>
  </si>
  <si>
    <r>
      <rPr>
        <sz val="10"/>
        <rFont val="Calibri"/>
        <family val="2"/>
        <scheme val="minor"/>
      </rPr>
      <t>Fortalecer el proceso de</t>
    </r>
    <r>
      <rPr>
        <sz val="10"/>
        <color rgb="FFFF0000"/>
        <rFont val="Calibri"/>
        <family val="2"/>
        <scheme val="minor"/>
      </rPr>
      <t xml:space="preserve">  </t>
    </r>
    <r>
      <rPr>
        <sz val="10"/>
        <rFont val="Calibri"/>
        <family val="2"/>
        <scheme val="minor"/>
      </rPr>
      <t>selecció</t>
    </r>
    <r>
      <rPr>
        <sz val="10"/>
        <color theme="1"/>
        <rFont val="Calibri"/>
        <family val="2"/>
        <scheme val="minor"/>
      </rPr>
      <t>n d</t>
    </r>
    <r>
      <rPr>
        <sz val="10"/>
        <rFont val="Calibri"/>
        <family val="2"/>
        <scheme val="minor"/>
      </rPr>
      <t>ocente UTS para mejorar el desarrollo académico y científico de la comunidad académica.</t>
    </r>
  </si>
  <si>
    <t>Decanaturas de Facultad</t>
  </si>
  <si>
    <t xml:space="preserve">Número de convocatorias de docentes ocasionales para el banco de elegibles </t>
  </si>
  <si>
    <t>Banco de elegibles en Convocatoria Docente</t>
  </si>
  <si>
    <t xml:space="preserve">ORDENANZA DEPARTAMENTAL SMMLV
 RECURSOS PROPIOS DE INVERSION </t>
  </si>
  <si>
    <t>Número de docentes de carrera vinculados mediante convocatoria pública, con recursos propios de la Institución</t>
  </si>
  <si>
    <t>Porcentaje de recursos de la base presupuestal asignada mediante la modificación de los artículos 86-87 de la Ley 30 que serán disponibles para la vinculación de docentes nuevos de carrera mediante concurso público.</t>
  </si>
  <si>
    <t>Porcentaje de Docentes TC con Maestría o Doctorado dedicados a Investigación.</t>
  </si>
  <si>
    <t>Porcentaje de Docentes vinculados Tiempo Completo, Medio Tiempo y de Carrera con Maestría o Doctorado.</t>
  </si>
  <si>
    <t xml:space="preserve">Fortalecer el Plan de Capacitación Docente UTS en los saberes pedagógicos, disciplinares y multidisciplinares del personal académico:  diversidad e inclusión, interculturalidad, enfoque de género, mediaciones pedagógicas a través de TIC para personas en situación de discapacidad, innovación educativa, formación por competencias y resultados de aprendizajes. </t>
  </si>
  <si>
    <t>Oficina de Desarrollo Académico .                             Grupo de Bienestar  Institucional.</t>
  </si>
  <si>
    <t>Porcentaje de Docentes capacitados en relación a los docentes contratados</t>
  </si>
  <si>
    <t>AMBIENTES DE APRENDIZAJE</t>
  </si>
  <si>
    <t xml:space="preserve">Fomentar el uso de diversos ambientes de aprendizaje, para soportar los procesos formativos. </t>
  </si>
  <si>
    <t>Decanaturas de Facultad
Oficina de Infraestructura.         Grupo Recursos Físicos.
Grupo de Recursos Informáticos
Grupo de Educación Virtual y TIC.</t>
  </si>
  <si>
    <t>Porcentaje de uso de recursos educativos digitales en relación a los cursos existentes.</t>
  </si>
  <si>
    <t>Porcentaje de uso de módulos virtuales de apoyo al trabajo independiente en relación a los módulos  existentes.</t>
  </si>
  <si>
    <t xml:space="preserve">Número de consultas bibliográficas que apoyen el proceso de enseñanza-aprendizaje de la institución. </t>
  </si>
  <si>
    <t>20.000 consultas de estudiantes (material bibliográfico)</t>
  </si>
  <si>
    <t>Número de consultas bibliográficas  de docentes contratados.</t>
  </si>
  <si>
    <t>1060 consultas docentes
(material bibliográfico)</t>
  </si>
  <si>
    <t>GESTIÓN DEL CONOCIMIENTO</t>
  </si>
  <si>
    <t>Ambiente y cultura institucional en ciencia, tecnología e innovación.</t>
  </si>
  <si>
    <t>Dirección de Investigaciones y Extensión.                       Decanaturas de Facultad</t>
  </si>
  <si>
    <t>ALTA
(95%</t>
  </si>
  <si>
    <t xml:space="preserve">Número de productos de investigación en ciencia, tecnología e innovación, apoyados económicamente. </t>
  </si>
  <si>
    <t xml:space="preserve">Número de proyectos de investigación en ciencia, tecnología e innovación, avalados institucionalmente. </t>
  </si>
  <si>
    <t>Investigación aplicada al servicio del sector externo.</t>
  </si>
  <si>
    <t>Dirección de Investigaciones y Extensión.
Decanaturas de Facultad</t>
  </si>
  <si>
    <t>Número de proyectos de investigación aplicada avalados por la institución.</t>
  </si>
  <si>
    <t xml:space="preserve">Número de proyectos  de investigación formulados y presentados en convocatorias externas. </t>
  </si>
  <si>
    <t xml:space="preserve">Tecnología, conocimiento y sociedad.      </t>
  </si>
  <si>
    <t>Dirección de Investigaciones y Extensión.                        Decanaturas de Facultad</t>
  </si>
  <si>
    <t>Número de registros de software ante la (DNDA) Dirección Nacional  de Derechos de Autor.</t>
  </si>
  <si>
    <t>Número de diseños en prototipos industriales.</t>
  </si>
  <si>
    <t>Número de prototipos industriales.</t>
  </si>
  <si>
    <t xml:space="preserve">Número de desarrollos tecnológicos. </t>
  </si>
  <si>
    <t xml:space="preserve">Cooperación nacional e internacional. </t>
  </si>
  <si>
    <t>Oficina de Relaciones Interinstitucionales e Internacionales.                                            Dirección de Investigaciones y Extensión.</t>
  </si>
  <si>
    <t>Número de acciones de extensión realizadas con socios estratégicos y alianzas.</t>
  </si>
  <si>
    <t xml:space="preserve">Número de proyectos y/o productos de investigación y extensión en redes de valor. </t>
  </si>
  <si>
    <t>PRODUCCIÓN ACADÉMICA, CIENTÍFICA Y TECNOLÓGICA</t>
  </si>
  <si>
    <t>Investigación, educación y comunidad.</t>
  </si>
  <si>
    <t>Número de productos  en la tipología Apropiación Social del Conocimiento (ASC) específicamente en estrategias pedagógicas, eventos científicos y/o académicos, estrategias de comunicación, talleres de creación y generación de contenidos.</t>
  </si>
  <si>
    <t>Número de productos en las tipologías Desarrollo Tecnológico e Innovación (DTI) y Apropiación Social del Conocimiento (ASC).</t>
  </si>
  <si>
    <t xml:space="preserve">La investigación y los focos estratégicos del contexto global. </t>
  </si>
  <si>
    <t>Dirección de Investigaciones y Extensión.                
Decanaturas de Facultad                Oficina de Relaciones Interinstitucionales e Internacionales.</t>
  </si>
  <si>
    <t>Número de proyectos formulados en los focos estratégicos</t>
  </si>
  <si>
    <t>Número de proyectos ejecutados.</t>
  </si>
  <si>
    <t>Número de proyectos formulados para participar en convocatorias externas.</t>
  </si>
  <si>
    <t>Investigación formativa.</t>
  </si>
  <si>
    <t xml:space="preserve">Dirección de Investigaciones y Extensión.                          Decanaturas de Facultad </t>
  </si>
  <si>
    <t>Número de semilleros avalados institucionalmente.</t>
  </si>
  <si>
    <t xml:space="preserve">Número de proyectos educativos liderados por el docente en el aula. </t>
  </si>
  <si>
    <t>Formación para la investigación</t>
  </si>
  <si>
    <t>Dirección de Investigaciones y Extensión.              
Decanaturas de Facultad                       Oficina de Desarrollo Académico.</t>
  </si>
  <si>
    <t>Número de cursos ofertados desde el sistema de profesionalización docente para promover competencias y capacidades investigativas.</t>
  </si>
  <si>
    <t xml:space="preserve">Porcentaje de trabajos de grado articulados a las líneas de los grupos de investigación. </t>
  </si>
  <si>
    <t>Investigación científica.</t>
  </si>
  <si>
    <t xml:space="preserve">Dirección de Investigaciones y Extensión.                         Decanaturas de Facultad </t>
  </si>
  <si>
    <t>Número de grupos de investigación avalados institucionalmente.</t>
  </si>
  <si>
    <t>Número de grupos categorizados y reconocidos en Minciencias.</t>
  </si>
  <si>
    <t>Número de docentes investigadores categorizados en Minciencias.</t>
  </si>
  <si>
    <t>LABORATORIO DE CULTURA CIUDADANA</t>
  </si>
  <si>
    <t>Cultura ciudadana y formación integral.</t>
  </si>
  <si>
    <t>Grupo Educación Virtual y TIC.                     
Oficina de Desarrollo Académico.                    
Decanaturas de Facultad                     
Dirección de Investigaciones y Extensión.         
Grupo Departamento de Humanidades.        
Departamento  Ciencias Básicas.</t>
  </si>
  <si>
    <t>Cultura y territorios inteligentes.</t>
  </si>
  <si>
    <t>Grupo Educación Virtual y TIC.             
Decanaturas de Facultad
Dirección de Investigaciones y Extensión.</t>
  </si>
  <si>
    <t xml:space="preserve">Número de productos en la tipología de desarrollo tecnológico e innovación.  </t>
  </si>
  <si>
    <t>ACADEMIA Y ENTORNO</t>
  </si>
  <si>
    <t>Realizar alianzas con instituciones educativas y organizaciones nacionales e internacionales que permitan el acceso a plataformas tecnológicas para diversificar la oferta y generar valor agregado.</t>
  </si>
  <si>
    <t>Grupo de Extensión Institucional</t>
  </si>
  <si>
    <t>ALTA
(89%)</t>
  </si>
  <si>
    <t>Número de alianzas activas</t>
  </si>
  <si>
    <t>1 alianza firmada con Professional Board (2020), vigente por 3 años</t>
  </si>
  <si>
    <t>Establecer alianzas con entidades públicas y privadas que contribuyan a la construcción de proyectos de investigación, desarrollo e innovación en conjunto con la comunidad académica.</t>
  </si>
  <si>
    <t>MEDIA
(73%)</t>
  </si>
  <si>
    <t>Número de alianzas con entidades públicas y privadas activas</t>
  </si>
  <si>
    <t>12 alianzas con entidades públicas y privadas (2020)</t>
  </si>
  <si>
    <t>PROYECTOS Y SERVICIOS DE PROYECCIÓN SOCIAL</t>
  </si>
  <si>
    <t>Crear un observatorio de proyección social que realice seguimiento al entorno laboral, gubernamental y empresarial permitiendo a la institución conocer las necesidades de la región y del país.</t>
  </si>
  <si>
    <t>MEDIA
(64%)</t>
  </si>
  <si>
    <t>Acto administrativo de creación del observatorio de proyección social</t>
  </si>
  <si>
    <t>Grupo de Extensión Institucional
Decanaturas de Facultad</t>
  </si>
  <si>
    <t>Implementación y puesta en marcha del Observatorio de Proyección Social</t>
  </si>
  <si>
    <t>Acto administrativo generado por la creación del observatorio de proyección social</t>
  </si>
  <si>
    <t>Número de productos desarrollados en el observatorio de proyección social</t>
  </si>
  <si>
    <t>Formular proyectos de inversión que apunten a las metas de los planes de desarrollo local, regional y nacional y se articulen con la planeación estratégica de la institución.</t>
  </si>
  <si>
    <t>MEDIA
(79%)</t>
  </si>
  <si>
    <t>Número de proyectos de inversión formulados que fortalezcan a las metas de los planes de desarrollo local, regional y nacional.</t>
  </si>
  <si>
    <t>Número de proyectos ejecutados con relación al total de proyectos formulados.</t>
  </si>
  <si>
    <t>IMPACTO SOCIAL Y ACADÉMICO</t>
  </si>
  <si>
    <t>Desarrollar estudios para conocer el impacto de la institución en la sociedad con sus contribuciones científicas, tecnológicas, de innovación y de creación.</t>
  </si>
  <si>
    <t>Dirección de Investigaciones y Extensión</t>
  </si>
  <si>
    <t>ALTA
(90%)</t>
  </si>
  <si>
    <t>Número de estudios realizados para conocer el impacto de la institución.</t>
  </si>
  <si>
    <t>Diseñar e implementar un programa que permita demostrar el compromiso de la institución con el entorno por medio de sus labores formativas, académicas, docentes, científicas, culturales y de extensión.</t>
  </si>
  <si>
    <t>ALTA
(81%)</t>
  </si>
  <si>
    <r>
      <t xml:space="preserve">Creación del programa que permita </t>
    </r>
    <r>
      <rPr>
        <sz val="10"/>
        <rFont val="Calibri"/>
        <family val="2"/>
        <scheme val="minor"/>
      </rPr>
      <t>evidenciar</t>
    </r>
    <r>
      <rPr>
        <sz val="10"/>
        <color theme="1"/>
        <rFont val="Calibri"/>
        <family val="2"/>
        <scheme val="minor"/>
      </rPr>
      <t xml:space="preserve"> el compromiso de la institución con el entorno</t>
    </r>
  </si>
  <si>
    <t>Dirección de Investigaciones y Extensión
Grupo de Comunicaciones e Imagen Institucional
Decanaturas de Facultad
Bienestar Institucional</t>
  </si>
  <si>
    <t>Número de estrategias ejecutadas en el programa que permite evidenciar el compromiso de la institución con el entorno con relación al total de estrategias formuladas.</t>
  </si>
  <si>
    <t>Programa creado</t>
  </si>
  <si>
    <t>INTERCAMBIO DE EXPERIENCIAS ACADÉMICAS Y CIENTÍFICAS</t>
  </si>
  <si>
    <t>Organizar encuentros y ruedas de negocios para la comunidad Uteísta donde participen los diferentes sectores empresariales de la región.</t>
  </si>
  <si>
    <t>Dirección de Investigaciones y Extensión
Decanaturas de Facultad</t>
  </si>
  <si>
    <t>ALTA
(95%)</t>
  </si>
  <si>
    <t>Número de encuentros y ruedas de negocio realizados</t>
  </si>
  <si>
    <t>Feria laboral realizada en el marco de Semilla Expo - Anual</t>
  </si>
  <si>
    <t>Crear espacios de intercambio académico y científico con instituciones de educación superior y entes gubernamentales para dar solución a problemáticas de la región.</t>
  </si>
  <si>
    <t>Número de espacios de intercambio académico y científicos creados</t>
  </si>
  <si>
    <t>Semilla EXPO</t>
  </si>
  <si>
    <t>SEGUIMIENTO Y ACOMPAÑAMIENTO A GRADUADOS</t>
  </si>
  <si>
    <t>Implementar planes y programas para  el seguimiento, participación y actualización de los graduados UTS.</t>
  </si>
  <si>
    <t>ALTA
(85%)</t>
  </si>
  <si>
    <t>Número de planes y programas implementados</t>
  </si>
  <si>
    <t>Estudios de Seguimiento e Impacto a Graduados</t>
  </si>
  <si>
    <t>Desarrollar un sistema de información que permita generar datos actualizados de los graduados de la institución para facilitar su seguimiento y contacto​.</t>
  </si>
  <si>
    <t>Grupo de Extensión Institucional
Grupo de Recursos Informáticos</t>
  </si>
  <si>
    <t>Implementación del Sistema de Información de Graduados.</t>
  </si>
  <si>
    <t>Sistema ACADEMUSOFT</t>
  </si>
  <si>
    <t>Porcentaje de mantenimiento y actualización del Sistema de Información.</t>
  </si>
  <si>
    <t>Sistema de Información de Graduados</t>
  </si>
  <si>
    <t>Desarrollar estudios para determinar el impacto de los graduados de la institución para facilitar el seguimiento y contacto</t>
  </si>
  <si>
    <t>Grupo de Extensión Institucional 
Decanaturas de Facultad</t>
  </si>
  <si>
    <t xml:space="preserve">Porcentaje de estudios desarrollados para determinar el impacto de los graduados de los programas académicos </t>
  </si>
  <si>
    <t xml:space="preserve">Porcentaje de Estudios de Seguimiento de los programas académicos e Impacto a Graduados </t>
  </si>
  <si>
    <t xml:space="preserve">Creación del micro sitio web dentro del portal UTS, donde se visualice la oferta institucional en materia de empleabilidad, educación continua y otros aspectos relevantes. </t>
  </si>
  <si>
    <t xml:space="preserve">Implementación del micrositio que visualice la oferta institucional en materia de empleabilidad, educación continua y otros aspectos relevantes. </t>
  </si>
  <si>
    <t>Bolsa de Empleo</t>
  </si>
  <si>
    <t>Porcentaje de mantenimiento y actualización del micrositio.</t>
  </si>
  <si>
    <t>Micrositio</t>
  </si>
  <si>
    <t>Generar boletines digitales para compartir información de interés general a la población de graduados a través de los medios de difusión y comunicación.</t>
  </si>
  <si>
    <t>Grupo de Extensión Institucional
Grupo de Comunicaciones e Imagen Institucional
Grupo de Prensa y Medios de Representación Institucional</t>
  </si>
  <si>
    <t>MEDIA
(76%)</t>
  </si>
  <si>
    <t>Número de boletines generados</t>
  </si>
  <si>
    <t>Revista #SOYUTEISTA</t>
  </si>
  <si>
    <t>ACTUALIZACIÓN DE CONOCIMIENTO Y EDUCACIÓN CONTINUA</t>
  </si>
  <si>
    <t>Ampliar la oferta institucional de educación continua (cursos, talleres, seminarios, diplomados) que responda a las necesidades del mundo laboral y permita la actualización de conocimientos de la comunidad uteísta.</t>
  </si>
  <si>
    <t>Portafolio de cursos, talleres, seminarios, diplomados y otras actividades</t>
  </si>
  <si>
    <t>Página Web (promoción)</t>
  </si>
  <si>
    <t>OFERTA DE SERVICIOS E INFORMACIÓN</t>
  </si>
  <si>
    <t>Crear un portafolio de servicios de extensión para el sector productivo y de la educación.</t>
  </si>
  <si>
    <t>Grupo de Extensión Institucional
Decanaturas de Facultad
Grupo de Comunicaciones e Imagen Institucional</t>
  </si>
  <si>
    <t>Portafolio de servicios y productos para el sector productivo y de la educación.</t>
  </si>
  <si>
    <t>Establecer y mantener actualizado un portafolio de servicios para el desarrollo de proyectos y prácticas de acuerdo a las necesidades de la región.</t>
  </si>
  <si>
    <t>Creación del portafolio de servicios para el desarrollo de proyectos y prácticas</t>
  </si>
  <si>
    <t>Convenios para el desarrollo de proyectos y prácticas</t>
  </si>
  <si>
    <t>Porcentaje de mantenimiento y actualización del portafolio de servicios para el desarrollo de proyectos y prácticas.</t>
  </si>
  <si>
    <t>Portafolio para el desarrollo de proyectos y prácticas</t>
  </si>
  <si>
    <t>CULTURA DE LA CALIDAD EDUCATIVA</t>
  </si>
  <si>
    <t>Divulgación de los tópicos propios de cada área para fomentar la cultura de la autoevaluación, autocontrol y autorregulación para fortalecer el seguimiento y el desarrollo de los planes de mejoramiento continuo de la institución</t>
  </si>
  <si>
    <t>Oficina de Autoevaluación y Calidad</t>
  </si>
  <si>
    <t>Plan de divulgación sobre los tópicos relacionados con la cultura de la autoevaluación, autocontrol y autorregulación.</t>
  </si>
  <si>
    <t>Porcentaje de personas del nivel directivo, administrativo y académico participantes en las reuniones de divulgación de los tópicos relacionados con la cultura de la autoevaluación, autocontrol y autorregulación.</t>
  </si>
  <si>
    <t>AUTOEVALUACIÓN Y AUTORREGULACIÓN</t>
  </si>
  <si>
    <r>
      <t>Implementar el Sistema Interno de Aseguramiento de la Calidad en correspondencia con la normatividad vigente para programas académicos e instituciones de educación superior, de manera que, se unifiquen acciones semejantes, se precisen insumos, actividades y productos que cada proceso aporta a la institución y se evidenci</t>
    </r>
    <r>
      <rPr>
        <b/>
        <sz val="10"/>
        <color theme="1"/>
        <rFont val="Calibri"/>
        <family val="2"/>
        <scheme val="minor"/>
      </rPr>
      <t>e</t>
    </r>
    <r>
      <rPr>
        <sz val="10"/>
        <color theme="1"/>
        <rFont val="Calibri"/>
        <family val="2"/>
        <scheme val="minor"/>
      </rPr>
      <t xml:space="preserve"> el funcionamiento de las diferentes instancias que se interrelacionan para el aseguramiento y el mejoramiento permanente de la calidad de la institución.</t>
    </r>
  </si>
  <si>
    <r>
      <t xml:space="preserve">Oficina de Autoevaluación y Calidad
Decanaturas de Facultad
Vicerrectoría Académica
Vicerrectoría Administrativa y Financiera
</t>
    </r>
    <r>
      <rPr>
        <sz val="10"/>
        <rFont val="Calibri"/>
        <family val="2"/>
        <scheme val="minor"/>
      </rPr>
      <t>Oficina de Planeación
Dirección de Regionalización</t>
    </r>
  </si>
  <si>
    <t>ALTA
(91%)</t>
  </si>
  <si>
    <t>Sistema Interno de Aseguramiento de la Calidad de las UTS aprobado.</t>
  </si>
  <si>
    <t>Actas del Comité Institucional de Autoevaluación y Acreditación - Estudio del Sistema</t>
  </si>
  <si>
    <t>Porcentaje de actividades cumplidas del plan para el funcionamiento del sistema interno de aseguramiento de la calidad.</t>
  </si>
  <si>
    <t>Número de programas en proceso de autoevaluación con fines de acreditación en alta calidad.</t>
  </si>
  <si>
    <t>Número de programas acreditables con logros en sus indicadores de impacto para acreditación en alta calidad</t>
  </si>
  <si>
    <t>Porcentaje de programas acreditables con resultado de acreditación en alta calidad para solicitar la acreditación institucional</t>
  </si>
  <si>
    <t>Actualizar el modelo institucional de autoevaluación y autorregulación de las UTS en correspondencia con la normatividad vigente para educación superior.</t>
  </si>
  <si>
    <t>Modelo institucional de autoevaluación y Autorregulación (actualizado)</t>
  </si>
  <si>
    <t>Modelo Institucional de Autoevaluación y Autorregulación (vigente)</t>
  </si>
  <si>
    <t xml:space="preserve">Desarrollar procesos de seguimiento a los planes de mejoramiento y de mantenimiento de las fortalezas que se generen de los procesos de autoevaluación de programas académicos, autoevaluación con fines de acreditación de programas y autoevaluación institucional.  </t>
  </si>
  <si>
    <t>Planes de mejoramiento y mantenimiento de los  procesos de autoevaluación de programas, autoevaluación con fines de acreditación de programas y autoevaluación institucional aprobados.</t>
  </si>
  <si>
    <t>GESTIÓN DE LA INFORMACIÓN ACADÉMICA</t>
  </si>
  <si>
    <t>Fortalecer los indicadores de impacto de los programas académicos mediante acciones derivadas de los procesos de autoevaluación que permitan optimizar los recursos, incrementar su calidad y consolidar la imagen institucional con una oferta académica pertinente y competitiva para la toma de decisiones en procesos de acreditación.</t>
  </si>
  <si>
    <t>Oficina de Autoevaluación y Calidad
Decanaturas de Facultad
Coordinaciones Académicas</t>
  </si>
  <si>
    <t xml:space="preserve">Porcentaje de programas académicos que tienen sus indicadores de impacto de alta calidad actualizados </t>
  </si>
  <si>
    <t>UTSmart</t>
  </si>
  <si>
    <t>UTSmart: hacia una transformación digital UTS</t>
  </si>
  <si>
    <t>ALTA
(98%)</t>
  </si>
  <si>
    <t>Productos de investigación relacionados con las nuevas tendencias de la industria (industria 4.0 y otras)</t>
  </si>
  <si>
    <t>Número de tecnologías sociales desarrolladas al servicio de la comunidad</t>
  </si>
  <si>
    <t>Dirección de Investigaciones y Extensión
Oficina de Infraestructura</t>
  </si>
  <si>
    <t>Número de tecnologías desarrolladas para mejorar procesos y gestión académica</t>
  </si>
  <si>
    <t>Número de tecnologías desarrolladas para mejorar procesos y gestión administrativa</t>
  </si>
  <si>
    <t>Promover una cultura de creatividad, innovación y emprendimiento en la comunidad Uteísta.</t>
  </si>
  <si>
    <t>MEDIA
(77%)</t>
  </si>
  <si>
    <t>Promover una cultura de creatividad, innovación y emprendimiento en la comunidad Uteísta mediante tecnologías transferidas, apropiadas y desarrolladas.</t>
  </si>
  <si>
    <t xml:space="preserve">INNOVACIÓN PEDAGÓGICA </t>
  </si>
  <si>
    <t xml:space="preserve">Ejecutar procesos de innovación educativa, dentro y fuera del aula, en uso de tecnologías (Educación a Distancia, B-Learning, E-Learning), investigación aplicada en los procesos de enseñanza y aprendizaje, mecanismos de evaluación y autoaprendizaje. </t>
  </si>
  <si>
    <t>Decanaturas de Facultad
Grupo de Educación Virtual y TIC</t>
  </si>
  <si>
    <t>ALTA
(96%)</t>
  </si>
  <si>
    <t>Estrategias de innovación  educativas diseñadas e implementadas en cada programa académico</t>
  </si>
  <si>
    <t>Aulas extendidas en funcionamiento para todas las asignaturas en la plataforma ATENA</t>
  </si>
  <si>
    <t xml:space="preserve">Promover el uso de herramientas digitales para la formación de personas en situación de discapacidad. </t>
  </si>
  <si>
    <t>Oficina de Desarrollo Académico 
Grupo de Bienestar Institucional</t>
  </si>
  <si>
    <t>MEDIA
(72%)</t>
  </si>
  <si>
    <t>Porcentaje de desarrollo de herramienta digital para formación de personas en situación de discapacidad.</t>
  </si>
  <si>
    <t>Accesibilidad de página web (plugin personas limitación visual)</t>
  </si>
  <si>
    <t xml:space="preserve">RECURSOS DE LA NACIÓN
 RECURSOS PROPIOS DE INVERSIÓN </t>
  </si>
  <si>
    <t xml:space="preserve">INNOVACIÓN EN INVESTIGACIÓN </t>
  </si>
  <si>
    <t>Desarrollar laboratorios de ideación, pruebas de concepto y de UX (Usabilidad y Accesibilidad).</t>
  </si>
  <si>
    <t>ALTA
(86%)</t>
  </si>
  <si>
    <t>Porcentaje de creación del laboratorio de ideación, pruebas de concepto y de UX</t>
  </si>
  <si>
    <t>Desarrollar proyectos y estrategias de carácter científico, tecnológico y de innovación, que fortalezcan los sectores productivos y de educación en Colombia.</t>
  </si>
  <si>
    <t>ALTA
(84%)</t>
  </si>
  <si>
    <t>Número de sectores productivos y de educación en Colombia fortalecidos con proyectos y estrategias de carácter científico y tecnológico.</t>
  </si>
  <si>
    <t>proyectos de regalías.</t>
  </si>
  <si>
    <t xml:space="preserve">Generar innovaciones a nivel pedagógico, organizacional, social, creación artística y cultural en procesos y en productos. </t>
  </si>
  <si>
    <t>Número de productos en innovaciones IPP a nivel pedagógico, organizacional, social, creación artística y cultural</t>
  </si>
  <si>
    <t xml:space="preserve">32 IPP desarrolladas por los grupos de investigación </t>
  </si>
  <si>
    <t>Implementar programas de cultura de innovación, apropiación y transferencia de conocimiento y tecnología.</t>
  </si>
  <si>
    <t>Dirección de Investigaciones y Extensión.</t>
  </si>
  <si>
    <t>Porcentaje de estudiantes y docentes que participan en capacitaciones relacionadas con el desarrollo de la cultura de la innovación</t>
  </si>
  <si>
    <t>INNOVACIÓN ORGANIZACIONAL</t>
  </si>
  <si>
    <t>Plan de infraestructura física en camino a procesos de eficiencia energética en el Campus.</t>
  </si>
  <si>
    <t>Oficina de Infraestructura</t>
  </si>
  <si>
    <t>ALTA
(94%)</t>
  </si>
  <si>
    <t>Estudio de estado actual de la infraestructura con base en el concepto de eficiencia energética</t>
  </si>
  <si>
    <t xml:space="preserve">Trabajos realizados por estudiantes </t>
  </si>
  <si>
    <t xml:space="preserve">Número de soluciones para la implementación de procesos de eficiencia energética </t>
  </si>
  <si>
    <t>cambio de luminarias en el edificio C - 2019 
manejo de temporizadores en el uso de iluminación en. El edificio A</t>
  </si>
  <si>
    <t>Modernización de la infraestructura física y tecnológica al servicio de la academia y la investigación.</t>
  </si>
  <si>
    <t xml:space="preserve">Oficina de infraestructura
Grupo de Recursos Informáticos </t>
  </si>
  <si>
    <t>Número de proyectos de modernización de la infraestructura física y tecnológica</t>
  </si>
  <si>
    <t>Dotar espacios académicos e investigativos con infraestructura física y tecnológica, moderna y flexible, que se adapte a las necesidades de la comunidad y la diversidad de la misma.</t>
  </si>
  <si>
    <t>Vicerrectoría Administrativa y Financiera
Oficina de Infraestructura. 
Grupo de Recursos Informáticos
Grupo de Recursos Físicos</t>
  </si>
  <si>
    <t>Número de espacios dotados con infraestructura tecnológica con relación al total de espacios físicos existentes.</t>
  </si>
  <si>
    <t>Inventario actual de laboratorios y  Salas de Sistemas</t>
  </si>
  <si>
    <t>Apropiación social de la ciencia, la tecnología y la innovación en los procesos institucionales.</t>
  </si>
  <si>
    <t>Grupo de Comunicaciones e Imagen Institucional 
Dirección de Investigaciones y Extensión</t>
  </si>
  <si>
    <t>Porcentaje de estudiantes y docentes que conocen los medios de divulgación de la CT&amp;I en las UTS</t>
  </si>
  <si>
    <t>Revista RESET
Cuaderno FCSEE
Boletines
Revista #Soy Uteísta</t>
  </si>
  <si>
    <t>CENTRO DE INNOVACIÓN Y PRODUCTIVIDAD - CIP</t>
  </si>
  <si>
    <t>Implementar un portafolio de proyectos de innovación y creación de nuevos productos/servicios.</t>
  </si>
  <si>
    <t>MEDIA
(62%)</t>
  </si>
  <si>
    <t>Número de proyectos formulados en investigación aplicada.</t>
  </si>
  <si>
    <t>Fomentar innovaciones sociales, tecnológicas, organizacionales en investigación y desarrollo.</t>
  </si>
  <si>
    <t>Número de soluciones generadas para satisfacer necesidades del sector productivo</t>
  </si>
  <si>
    <t xml:space="preserve">Puesta en marcha del Centro de Innovación y Productividad de las UTS (CIP-UTS) articulado con los sistemas nacionales y regionales de innovación. </t>
  </si>
  <si>
    <t>Número de proyectos formulados  y sometidos a convocatorias externas para la articulación con el sector productivo</t>
  </si>
  <si>
    <t>CENTRO ACADÉMICO PARA EL FOMENTO DEL EMPRENDIMIENTO - CAFE UTS</t>
  </si>
  <si>
    <t>Cultura y pensamiento.</t>
  </si>
  <si>
    <t xml:space="preserve">Dirección de Investigaciones y Extensión </t>
  </si>
  <si>
    <t>ALTA
(92%)</t>
  </si>
  <si>
    <t>Número de acciones de capacitación realizadas en asuntos de sensibilización y aspectos disciplinares en la comunidad académica.</t>
  </si>
  <si>
    <t>RECURSOS DE FUNCIONAMIENTO
RUBRO DE PROYECCION SOCIAL</t>
  </si>
  <si>
    <t xml:space="preserve">Número de espacios académicos generados para fomentar la cultura y el pensamiento en emprendimiento en la comunidad académica </t>
  </si>
  <si>
    <t xml:space="preserve">Emprendimiento e innovación.  </t>
  </si>
  <si>
    <t xml:space="preserve">Número de acompañamientos y asesorías a exploradores y emprendedores para sus procesos de pre-incubación </t>
  </si>
  <si>
    <t>NO APLICA</t>
  </si>
  <si>
    <t xml:space="preserve">Número de asistencias técnicas en las ideas de negocio de los emprendedores buscando la sostenibilidad de sus modelos de negocios. </t>
  </si>
  <si>
    <t>Fortalecimiento empresarial.</t>
  </si>
  <si>
    <t xml:space="preserve">Número de acciones de capacitación en poblaciones y comunidades a fin de promover los temas de emprendimiento.                </t>
  </si>
  <si>
    <t xml:space="preserve">Número de consultorías y/o asesorías realizadas a las empresas del sector productivo de la región.                    </t>
  </si>
  <si>
    <t>Número de innovaciones en la gestión empresarial realizadas en el sector productivo de la región.</t>
  </si>
  <si>
    <t>COOPERACIÓN NACIONAL E INTERNACIONAL</t>
  </si>
  <si>
    <t>Implementar mecanismos de cooperación nacional e internacional, que amplíen las oportunidades de realizar estudios posgraduales, faciliten el intercambio de conocimientos y recursos y posibiliten la movilidad de la comunidad Uteísta.</t>
  </si>
  <si>
    <t>Oficina de Relaciones
Interinstitucionales e
Internacionales
Decanaturas de Facultad
Dirección de Investigaciones y Extensión</t>
  </si>
  <si>
    <t>Número de convenios activos con instituciones internacionales que faciliten estudios posgraduales, doble titulación, movilidad académica e investigación, intercambio de conocimientos, recursos pedagógicos, académicos, científicos y de innovación.</t>
  </si>
  <si>
    <t>27 Internacionales</t>
  </si>
  <si>
    <t>Número de convenios activos con instituciones nacionales que faciliten estudios posgraduales, doble titulación, movilidad académica e investigación, intercambio de conocimientos, recursos pedagógicos, académicos, científicos y de innovación.</t>
  </si>
  <si>
    <t>20 Nacionales</t>
  </si>
  <si>
    <t>Oficina de Relaciones
Interinstitucionales e
Internacionales
Grupo Departamento de Idiomas
Grupo Departamento de Humanidades</t>
  </si>
  <si>
    <t>Número de convenios activos con entidades nacionales e internacionales enfocados hacia la multiculturalidad, multilingüismo, inclusión y diversidad de la educación superior.</t>
  </si>
  <si>
    <t>Oficina de Relaciones
Interinstitucionales e
Internacionales
Decanaturas de Facultad</t>
  </si>
  <si>
    <t>Número de convenios activos para el desarrollo de prácticas.</t>
  </si>
  <si>
    <t>30 convenios firmados para prácticas (vigencia 2020)</t>
  </si>
  <si>
    <t>Oficina de Relaciones
Interinstitucionales e
Internacionales</t>
  </si>
  <si>
    <t>Número de convenios interadministrativos activos</t>
  </si>
  <si>
    <t>14 convenios (2020-I)
10 convenios (2020-II)</t>
  </si>
  <si>
    <t>MULTILINGÜISMO Y MULTICULTURALIDAD</t>
  </si>
  <si>
    <t>Implementar estrategias y mecanismos que faciliten el desarrollo de habilidades comunicativas y sociales en diversas lenguas y culturas para facilitar el intercambio nacional e internacional.</t>
  </si>
  <si>
    <t>Grupo Departamento de Idiomas 
Oficina de Relaciones
Interinstitucionales e
Internacionales</t>
  </si>
  <si>
    <t>Implementación de un Plan de Bilingüismo Institucional</t>
  </si>
  <si>
    <t>Documentación Plan Bilingüismo</t>
  </si>
  <si>
    <t>OTROS PROGRAMAS DE INVERSION
RECURSOS PROPIOS</t>
  </si>
  <si>
    <t>Grupo Departamento de Idiomas
Oficina Desarrollo Académico</t>
  </si>
  <si>
    <t xml:space="preserve">Prueba diagnóstica de nivel de inglés a estudiantes de primer ingreso </t>
  </si>
  <si>
    <t>Prueba de contraste de nivel de inglés  a estudiantes de primer ingreso</t>
  </si>
  <si>
    <t>Grupo Departamento de Idiomas</t>
  </si>
  <si>
    <t>Prueba diagnóstica (placement test) a docentes para medir nivel de competencia en inglés.</t>
  </si>
  <si>
    <t>Porcentaje de docentes (Planta, Tiempo Completo y Medio Tiempo) con nivel de competencia intermedio alto B2 o superior de inglés.</t>
  </si>
  <si>
    <t>Docentes TC-MT - Evaluados 2018-2
Nivel A1 = 167
Nivel A2 = 20
Nivel B1 = 2
Nivel B2 = 4
Nivel C1 = 1
Total 197</t>
  </si>
  <si>
    <t>Implementación de cursos de preparación en diversas lenguas como apoyo a estudiantes y docentes de los programas académicos.</t>
  </si>
  <si>
    <t>Grupo Departamento de Idiomas
Decanaturas de Facultad</t>
  </si>
  <si>
    <t>Porcentaje de participación de docentes y estudiantes en cursos de preparación en diversas lenguas.</t>
  </si>
  <si>
    <t>Curso Portugués y Francés</t>
  </si>
  <si>
    <t>Grupo Departamento de Idiomas
Grupo Departamento de Humanidades
Oficina de Relaciones
Interinstitucionales e
Internacionales</t>
  </si>
  <si>
    <t xml:space="preserve">Creación e implementación del curso en idioma español a estudiantes y docentes extranjeros que hacen parte de los programas de movilidad (entrante). </t>
  </si>
  <si>
    <t>Cursos A1</t>
  </si>
  <si>
    <t>Porcentaje de participación de docentes y estudiantes extranjeros (no hispanohablantes) que hacen parte de los programas de movilidad (entrante), en el curso en idioma español.</t>
  </si>
  <si>
    <t>Grupo Departamento de Idiomas
Grupo Departamento de Humanidades
Bienestar Institucional
Oficina de Relaciones
Interinstitucionales e
Internacionales</t>
  </si>
  <si>
    <t>Evento Semana "Multilingüismo y Multiculturalidad"</t>
  </si>
  <si>
    <t xml:space="preserve">Actividades / Eventos </t>
  </si>
  <si>
    <t>Porcentaje de participación de docentes, estudiantes y administrativos en el evento Semana "Multilingüismo y Multiculturalidad"</t>
  </si>
  <si>
    <t>Promover estrategias de formación en el manejo de segunda lengua para la comunidad Uteísta.</t>
  </si>
  <si>
    <t xml:space="preserve">Grupo Departamento de Idiomas </t>
  </si>
  <si>
    <t>Cursos en segunda lengua para el fortalecimiento de competencias comunicativas de docentes y administrativos.</t>
  </si>
  <si>
    <t>Cursos en segunda lengua mediante intercambio virtual para docentes y administrativos.</t>
  </si>
  <si>
    <t>Virtualización Curso A1 
Participación de Docentes TC (Convenio Alianza del Pacífico)</t>
  </si>
  <si>
    <t>MOVILIDAD E INTERACCIÓN CON EL ENTORNO</t>
  </si>
  <si>
    <t>Fortalecer a las UTS en movilidad e interacción con el entorno, nacional e internacional, en relación a la participación en eventos y actividades de carácter misional.</t>
  </si>
  <si>
    <t>Decanaturas de Facultad
Dirección de Investigaciones y Extensión
Grupo Departamentos de Humanidades 
Grupo Departamento de Idiomas
Bienestar Institucional
Oficina de Relaciones
Interinstitucionales e
Internacionales</t>
  </si>
  <si>
    <t>Porcentaje de participación de estudiantes en eventos o actividades académicas, culturales, científicas, de idiomas, inclusión y diversidad de la educación superior, a nivel nacional e internacional.</t>
  </si>
  <si>
    <t>5%</t>
  </si>
  <si>
    <t>7%</t>
  </si>
  <si>
    <t xml:space="preserve">
RECURSOS DE FUNCIONAMIENTO</t>
  </si>
  <si>
    <t>Porcentaje de participación de docentes en eventos o actividades académicas, culturales, científicas, de idiomas, inclusión y diversidad de la educación superior, a nivel nacional e internacional.</t>
  </si>
  <si>
    <t>Portafolio de actividades y/o eventos nacionales e internacionales enfocados hacia la multiculturalidad y multilingüismo, que coadyuden a cultivar competencias globales en la formación.</t>
  </si>
  <si>
    <t>Crear e implementar un sistema de gestión de la movilidad institucional con el fin de  realizar seguimiento y control a los indicadores de los programas académicos, investigativos y de extensión.</t>
  </si>
  <si>
    <t>Oficina de Relaciones
Interinstitucionales e
Internacionales
Grupo  de Recursos Informáticos
Vicerrectoría Académica</t>
  </si>
  <si>
    <r>
      <rPr>
        <sz val="10"/>
        <color theme="1"/>
        <rFont val="Calibri"/>
        <family val="2"/>
        <scheme val="minor"/>
      </rPr>
      <t>Creación del sistema de gestión de movilidad institucional</t>
    </r>
    <r>
      <rPr>
        <sz val="9"/>
        <color rgb="FF00B0F0"/>
        <rFont val="Calibri"/>
        <family val="2"/>
      </rPr>
      <t/>
    </r>
  </si>
  <si>
    <t xml:space="preserve">RECURSOS DE FUNCIONAMIENTO RECURSOS DE INVERSION </t>
  </si>
  <si>
    <t>Implementación del sistema de gestión de movilidad institucional</t>
  </si>
  <si>
    <t>Generar espacios de realimentación donde la comunidad académica que participa de procesos de movilidad nacional e internacional, comparta sus experiencias y productos académicos a través de conversatorios, eventos académicos, culturales y deportivos, promocionando y fortaleciendo la multiculturalidad.</t>
  </si>
  <si>
    <t>Número de  eventos que permitan el intercambio de experiencias  y productos académicos como feedback de los procesos de movilidad.</t>
  </si>
  <si>
    <t>DESARROLLO HUMANO INTEGRAL</t>
  </si>
  <si>
    <t>Establecer estrategias con apoyo de otras dependencias dirigidas a estudiantes con dificultades económicas, con el fin de contribuir al mejoramiento de la calidad de vida.</t>
  </si>
  <si>
    <t>Grupo de Bienestar Institucional
Oficina de Relaciones Interinstitucionales e Internacionales</t>
  </si>
  <si>
    <t>ALTA
(88%)</t>
  </si>
  <si>
    <t>Número de estrategias institucionales para la consecución de estímulos económicos, con el fin de contribuir al mejoramiento de la calidad de vida de los estudiantes.</t>
  </si>
  <si>
    <t>Reglamento de estímulos y distinciones</t>
  </si>
  <si>
    <t>Fomentar la capacidad de relacionarse y comunicarse dentro de la comunidad Uteísta, y así mismo desarrollar el sentido de pertenencia y compromiso individual con la institución.</t>
  </si>
  <si>
    <t xml:space="preserve"> Grupo Departamento de Humanidades
Grupo de Bienestar Institucional</t>
  </si>
  <si>
    <t>MEDIA
(63%)</t>
  </si>
  <si>
    <t>Número de estrategias que fomenten la capacidad de relacionarse y comunicarse dentro de la comunidad uteísta y el sentido de pertenencia y compromiso individual con la institución.</t>
  </si>
  <si>
    <t xml:space="preserve">F-PL-09 Cronograma De Actividades De Nivel Táctico de Bienestar Institucional </t>
  </si>
  <si>
    <t>CULTURA Y PROMOCIÓN ARTÍSTICA</t>
  </si>
  <si>
    <t>Promover espacios de creación, intercambio, estimulación, sensibilización y apreciación de las diversas manifestaciones en arte y cultura entre la comunidad Uteísta.</t>
  </si>
  <si>
    <t>Vicerrectoría Académica
Grupo de Bienestar Institucional
Grupo Departamento de Humanidades</t>
  </si>
  <si>
    <t>Cursos implementados para promover el intercambio, estimulación, sensibilización y apreciación de las diversas manifestaciones en arte y cultura entre la comunidad Uteísta.</t>
  </si>
  <si>
    <t xml:space="preserve">Materias Opcionales Bienestar Institucional </t>
  </si>
  <si>
    <t>Desarrollar actividades libres que muestren las aptitudes artísticas y culturales de la comunidad institucional fomentando la construcción de la paz.</t>
  </si>
  <si>
    <t xml:space="preserve"> Grupo Departamento de Humanidades
Dirección Administrativa de Talento Humano
Grupo de Bienestar Institucional</t>
  </si>
  <si>
    <t>Número de estrategias que muestren las aptitudes artísticas y culturales de la comunidad uteísta fomentando la construcción de la paz.</t>
  </si>
  <si>
    <t>Eventos desarrollados en el marco de la cátedra de paz por el Departamento de Humanidades</t>
  </si>
  <si>
    <t>ACTIVIDAD FÍSICA Y DEPORTE</t>
  </si>
  <si>
    <t xml:space="preserve">Desarrollar actividades de promoción de hábitos saludables y del fomento de la actividad física, el deporte y el adecuado uso del tiempo libre dirigido a los estudiantes, docentes y administrativos. </t>
  </si>
  <si>
    <t>Dirección Administrativa de Talento Humano
Grupo de Bienestar Institucional</t>
  </si>
  <si>
    <t xml:space="preserve">Plan de actividades de promoción de hábitos saludables y del fomento de la actividad física, el deporte y el adecuado uso del tiempo libre dirigido a los estudiantes, docentes y administrativos. </t>
  </si>
  <si>
    <t>F-PL-09 Cronograma De Actividades De Nivel Táctico de Bienestar Institucional 
F-PL-11 Cronograma De Actividades De Nivel Operacional de los servicios de Bienestar Institucional</t>
  </si>
  <si>
    <t>RECURSOS DE LA NACIÓN
RECURSOS DE BIENESTAR INSTITUCIONAL</t>
  </si>
  <si>
    <t xml:space="preserve">Implementar el plan de actividades de promoción de hábitos saludables y del fomento de la actividad física, el deporte y el adecuado uso del tiempo libre dirigido a los estudiantes, docentes y administrativos. </t>
  </si>
  <si>
    <t>Plan de actividades de promoción en hábitos saludables</t>
  </si>
  <si>
    <t>Crear espacios académicos y administrativos para garantizar la participación de la comunidad Uteísta en actividades de recreación y deporte.</t>
  </si>
  <si>
    <t xml:space="preserve">Dirección Administrativa de Talento Humano
Grupo de Bienestar Institucional
Oficina de Desarrollo Académico </t>
  </si>
  <si>
    <t>Cursos implementados para garantizar la participación de la comunidad Uteísta en actividades de recreación y deporte.</t>
  </si>
  <si>
    <t>ASIGNATURA CULTURA FÍSICA
MATERIAS OPCIONALES BIENESTAR</t>
  </si>
  <si>
    <t>OTROS PROGRAMAS DE INVERSION
RECURSOS DE BIENESTAR INSTITUCIONAL</t>
  </si>
  <si>
    <t>Crear alianzas que faciliten el acceso a infraestructura y personal especializado para el desarrollo de acciones conjuntas de bienestar entre instituciones.</t>
  </si>
  <si>
    <t>Coordinación Programa Profesional en Actividad Física y Deporte 
Grupo Bienestar Institucional
Oficina de Relaciones Interinstitucionales e Internacionales</t>
  </si>
  <si>
    <t>Número de convenios interinstitucionales gestionados, que faciliten el acceso a infraestructura y personal especializado para el desarrollo de acciones conjuntas de bienestar entre instituciones.</t>
  </si>
  <si>
    <t>Convenios Interinstitucionales 
(INDERBU)</t>
  </si>
  <si>
    <t>PROMOCIÓN Y PREVENCIÓN EN SALUD</t>
  </si>
  <si>
    <t>Fortalecer el desarrollo de actividades de prevención de la enfermedad y de la promoción de los estilos de vida saludables y del autocuidado para estudiantes, docentes y personal administrativo.</t>
  </si>
  <si>
    <t>Grupo de Bienestar Institucional</t>
  </si>
  <si>
    <t>Servicios de salud que presten asistencia para la prevención de la enfermedad y de la promoción de los estilos de vida saludables y del autocuidado para estudiantes, docentes y personal administrativo.</t>
  </si>
  <si>
    <t>Servicios de Salud de Bienestar Institucional</t>
  </si>
  <si>
    <t>Desarrollar actividades de promoción en salud y prevención de la enfermedad que contribuyan al mejoramiento de la calidad de vida y a la formación integral de la comunidad uteísta.</t>
  </si>
  <si>
    <t>Crear el plan de actividades de promoción en salud y prevención de la enfermedad que contribuyan al mejoramiento de la calidad de vida y a la formación integral de la comunidad Uteísta.</t>
  </si>
  <si>
    <t>Implementación plan de actividades de promoción en salud y prevención de la enfermedad que contribuyan al mejoramiento de la calidad de vida y a la formación integral de la comunidad Uteísta.</t>
  </si>
  <si>
    <t xml:space="preserve">Plan de actividades de promoción en salud </t>
  </si>
  <si>
    <t>ACOMPAÑAMIENTO Y PERMANENCIA</t>
  </si>
  <si>
    <t>Fortalecer el sistema de acompañamiento al estudiante en aspectos sociales, sicológicos y académicos que garantice su permanencia, retención, promoción y graduación.</t>
  </si>
  <si>
    <t>Oficina de Desarrollo Académico
Grupo de Bienestar institucional</t>
  </si>
  <si>
    <t>Identificar la problemática social que incide en permanencia, retención, promoción y graduación de los estudiantes.</t>
  </si>
  <si>
    <t>Estudio de la problemática social, para el programa de Ing. Electrónica</t>
  </si>
  <si>
    <t>Implementar el programa de acompañamiento al estudiante para la permanencia y mejoramiento de la calidad de vida desde el objetivo misional de Bienestar Institucional.</t>
  </si>
  <si>
    <t>Programas de Desarrollo Humano y Acompañamiento Psicosocial</t>
  </si>
  <si>
    <t>Oficina de Desarrollo Académico</t>
  </si>
  <si>
    <t xml:space="preserve">Número atenciones a estudiantes en tutorías </t>
  </si>
  <si>
    <t>4500 atenciones a estudiantes en 2020 (tutorías)</t>
  </si>
  <si>
    <t xml:space="preserve">Número de horas asignadas para desarrollar a las tutorías </t>
  </si>
  <si>
    <t>300 horas asignadas para tutorías en 2020</t>
  </si>
  <si>
    <t>Número de atenciones a estudiantes en monitoria  de pares</t>
  </si>
  <si>
    <t>1000 atenciones a estudiantes en 2020 (monitorias)</t>
  </si>
  <si>
    <t>Número de estudiantes monitores</t>
  </si>
  <si>
    <t>40 estudiantes monitores en 2020</t>
  </si>
  <si>
    <t>Porcentaje de estudiante de nuevo ingreso (nivel propedéutico) que realizan la  prueba de estilos de aprendizaje</t>
  </si>
  <si>
    <t>40% de la población de estudiantes nuevos que realizan la prueba diagnóstica en 2020</t>
  </si>
  <si>
    <t xml:space="preserve">Porcentaje de estudiantes  que participan en las jornadas de inducción a la vida académica en la educación superior </t>
  </si>
  <si>
    <t xml:space="preserve">40% estudiantes participaron en las jornadas de inducción 2020 </t>
  </si>
  <si>
    <t xml:space="preserve">Implementar un sistema de alertas tempranas en la formación del estudiante que permita detectar a tiempo estudiantes con dificultad académica y posibles riesgos de deserción.  </t>
  </si>
  <si>
    <t>Módulo de alertas tempranas de la suite de Academusoft</t>
  </si>
  <si>
    <t xml:space="preserve">Definir un sistema de caracterización de la comunidad Uteísta que cumpla con la ley de protección de datos personales y permita el acceso a programas y actividades institucionales conforme a las necesidades de la población. </t>
  </si>
  <si>
    <t>Oficina Jurídica
Grupo de Recursos Informáticos
Oficina de Admisiones, Registro y Control
Grupo de Bienestar Institucional</t>
  </si>
  <si>
    <t xml:space="preserve">Crear el sistema de caracterización de la comunidad uteísta que cumpla con la ley de protección de datos personales y permita el acceso a programas y actividades institucionales conforme a las necesidades de la población. </t>
  </si>
  <si>
    <t>Formulario de Inscripción en línea Oficina de Admisiones, Registro y Control</t>
  </si>
  <si>
    <t>Grupo de Recursos Informáticos
Grupo de Admisiones, Registro y Control Académico
Grupo de Bienestar Institucional</t>
  </si>
  <si>
    <t xml:space="preserve">Desarrollar el sistema de caracterización de la comunidad uteísta que cumpla con la ley de protección de datos personales y permita el acceso a programas y actividades institucionales conforme a las necesidades de la población. </t>
  </si>
  <si>
    <t>Sistema de caracterización</t>
  </si>
  <si>
    <t>Fortalecer los mecanismos de divulgación de programas de bienestar orientados a la prevención de la deserción y a la promoción de la graduación de los estudiantes.</t>
  </si>
  <si>
    <t>Secretaría General - 
Grupo de Comunicaciones e Imagen Institucional
Grupo de Bienestar Institucional</t>
  </si>
  <si>
    <t>Número de estrategias de divulgación de programas de bienestar orientados a la prevención de la deserción y a la promoción de la graduación de los estudiantes.</t>
  </si>
  <si>
    <t>Página Web Institucional 
Redes Sociales Institucionales
Correo electrónico
Emisora Institucional
Carteleras</t>
  </si>
  <si>
    <t>MULTICULTURALIDAD SIN DISTINCIÓN</t>
  </si>
  <si>
    <t>Promover el respeto a la individualidad del educando y la interculturalidad de los mismos.</t>
  </si>
  <si>
    <t xml:space="preserve"> Grupo Departamento de Humanidades</t>
  </si>
  <si>
    <t>Crear cartilla didáctica que promueva el respeto a la individualidad del educando y la interculturalidad.</t>
  </si>
  <si>
    <t>Porcentaje de participación de la comunidad académica en la  cartilla didáctica que promueva el respeto a la individualidad del educando y la interculturalidad.</t>
  </si>
  <si>
    <t>Cartilla Didáctica que promueva el respeto a la individualidad del educando y la interculturalidad</t>
  </si>
  <si>
    <t>Diseñar e implementar programas de reconocimiento de la interculturalidad y el respeto por el otro.</t>
  </si>
  <si>
    <t>Dirección Administrativa  de Talento Humano
Grupo de Bienestar Institucional.</t>
  </si>
  <si>
    <t>Crear programa de reconocimiento de la interculturalidad y el respeto por el otro.</t>
  </si>
  <si>
    <t>https://www.uts.edu.co/sitio/wp-content/uploads/normatividad/bienestar_programa_inclusion.pdf- http://www.uts.edu.co/sitio/wp-content/uploads/normatividad/acuerdos/acu-07.pdf-  https://www.uts.edu.co/sitio/bienestar-inclusiva/</t>
  </si>
  <si>
    <t>Implementar el programa  que promueva el  reconocimiento de la interculturalidad y el respeto por el otro.</t>
  </si>
  <si>
    <t xml:space="preserve"> Programa de reconocimiento de la interculturalidad y el respeto por el otro</t>
  </si>
  <si>
    <t>EQUIDAD, GÉNERO Y DIVERSIDAD EN EDUCACIÓN</t>
  </si>
  <si>
    <t>Desarrollar acciones de sensibilización y concientización en asuntos de género, equidad, diversidad e inclusión para la comunidad Uteísta con el apoyo y participación de grupos de interés y entidades externas aliadas.</t>
  </si>
  <si>
    <t xml:space="preserve">Porcentaje de participación de la comunidad docente en las propuestas de capacitación en equidad, género y diversidad  </t>
  </si>
  <si>
    <t>3,5 base Profesoral - Fuente ODA</t>
  </si>
  <si>
    <t xml:space="preserve">Dirección Administrativa de Talento Humano
Grupo de Bienestar Institucional </t>
  </si>
  <si>
    <t>Porcentaje de participación de la comunidad uteísta en las campañas de sensibilización en asuntos de género, equidad, diversidad e inclusión.</t>
  </si>
  <si>
    <t>Actividades desarrolladas en relación con asuntos de género, equidad, diversidad e inclusión. Por parte de Bienestar Institucional y Talento humano.</t>
  </si>
  <si>
    <t xml:space="preserve">Grupo Departamento de Humanidades </t>
  </si>
  <si>
    <t xml:space="preserve">Porcentaje de participación de los estudiantes en el curso que promueva asuntos de género, equidad, diversidad e inclusión en la oferta optativa en el componente sociohumanístico. </t>
  </si>
  <si>
    <t>Nombre del Curso: Identidad, diversidad y diferencias- Cod: DHE004</t>
  </si>
  <si>
    <t>Fortalecer  estrategias para la prevención y atención de violencias relacionadas con las diferencias de género.</t>
  </si>
  <si>
    <t>Grupo de Bienestar Institucional
Secretaria General
Control Interno Disciplinario</t>
  </si>
  <si>
    <t>Rediseñar el protocolo de prevención y atención  a situaciones de violencias relacionadas con género y diversidad.</t>
  </si>
  <si>
    <t xml:space="preserve">
Protocolo de prevención y atención en casos de violencia de género, acoso laboral y/o violencia sexual
http://historico.uts.edu.co/portal/app/ckfinder/userfiles/files/Resolucion%2002-500-2019(1).pdf
Fuente Bienestar Institucional</t>
  </si>
  <si>
    <t xml:space="preserve">Secretaría General </t>
  </si>
  <si>
    <t>Estrategias de divulgación acerca del protocolo de prevención y atención   a situaciones de violencias relacionadas con género y diversidad.</t>
  </si>
  <si>
    <t>protocolo de prevención y atención   a situaciones de violencias relacionadas con género y diversidad</t>
  </si>
  <si>
    <t>Diseño e Implementación de un plan de acción para brindar acompañamiento en  procesos de educación inclusiva</t>
  </si>
  <si>
    <t xml:space="preserve">Grupo de Bienestar Institucional
Oficina de Desarrollo Académico </t>
  </si>
  <si>
    <t>Plan  de acompañamiento para los estudiantes con dificultades de aprendizaje.</t>
  </si>
  <si>
    <t xml:space="preserve">Estrategias implementadas a través del sistema de acompañamiento a estudiante. </t>
  </si>
  <si>
    <t xml:space="preserve"> Oficina de Desarrollo Académico </t>
  </si>
  <si>
    <t xml:space="preserve">Implementar programa de formación docente para atender a personas con dificultades de aprendizaje. </t>
  </si>
  <si>
    <t xml:space="preserve">Oferta formativa de capacitación docente.  </t>
  </si>
  <si>
    <t>INCLUSIÓN SOCIAL, DESARROLLO REGIONAL Y PROYECCIÓN COMUNITARIA</t>
  </si>
  <si>
    <t>Implementar un plan de inclusión social para la comunidad en situación de vulnerabilidad (mujeres, etnias, víctimas de conflicto armado, discapacitados entre otros).</t>
  </si>
  <si>
    <t>Grupo  Extensión Institucional</t>
  </si>
  <si>
    <t>Diseño y creación del plan de  inclusión social para la comunidad  en situación de vulnerabilidad</t>
  </si>
  <si>
    <t xml:space="preserve">Porcentaje de ejecución  del plan de  inclusión social para la comunidad  en situación de vulnerabilidad </t>
  </si>
  <si>
    <t>Plan de  inclusión social para la comunidad  en situación de vulnerabilidad</t>
  </si>
  <si>
    <t>GESTIÓN INSTITUCIONAL</t>
  </si>
  <si>
    <t>Crear e implementar una política de emprendimiento institucional que fortalezca la creatividad y productividad de la comunidad Uteísta.</t>
  </si>
  <si>
    <t>Dirección de Investigaciones y Extensión
Dirección Administrativa de  Talento Humano</t>
  </si>
  <si>
    <t>ALTA 
(91%)</t>
  </si>
  <si>
    <t>Creación de política de emprendimiento institucional.</t>
  </si>
  <si>
    <t>Centro de Emprendimiento</t>
  </si>
  <si>
    <t>Implementación de política de emprendimiento institucional.</t>
  </si>
  <si>
    <t>Política Aprobada</t>
  </si>
  <si>
    <t>Crear e implementar una política que promueva el desarrollo sostenible de la institución.</t>
  </si>
  <si>
    <t>Decanatura de Ciencias Naturales e Ingenierías 
Dirección Administrativa de  Talento Humano</t>
  </si>
  <si>
    <t>ALTA 
(84%)</t>
  </si>
  <si>
    <t>Creación de política que promueva el desarrollo sostenible de la institución.</t>
  </si>
  <si>
    <t>Plan de Sostenibilidad</t>
  </si>
  <si>
    <t>Implementación de política que promueva el desarrollo sostenible de la institución.</t>
  </si>
  <si>
    <t>Fortalecer el modelo integrado de planeación y gestión con el objeto de transformar las UTS en una institución flexible, eficiente y efectiva.</t>
  </si>
  <si>
    <t>Oficina de Planeación
(Comité de Gestión y Desempeño) 
Dirección Administrativa de  Talento Humano</t>
  </si>
  <si>
    <t>ALTA 
(100%)</t>
  </si>
  <si>
    <t>Índice de Desempeño Institucional</t>
  </si>
  <si>
    <t>87,94% para 2019 
(Índice Desempeño Territorial)
(Fuente: Oficina Planeación)</t>
  </si>
  <si>
    <t>Número de estrategias de fortalecimiento del Modelo Integrado de Planeación y Gestión</t>
  </si>
  <si>
    <t>Autodiagnóstico MIPG</t>
  </si>
  <si>
    <t>CULTURA ORGANIZACIONAL Y DESARROLLO DEL TALENTO HUMANO</t>
  </si>
  <si>
    <t xml:space="preserve">Formular e implementar un plan de sostenibilidad social que promueva el comportamiento respetuoso, buenas prácticas en las relaciones con usuarios y proveedores, fomentando acciones que contribuyan con la inclusión, la equidad de género, la empleabilidad y la calidad de vida de la comunidad institucional.  </t>
  </si>
  <si>
    <t>Dirección Administrativa de  Talento Humano
Grupo Extensión institucional
Grupo de Bienestar Institucional</t>
  </si>
  <si>
    <t>MEDIA 
(79%)</t>
  </si>
  <si>
    <t xml:space="preserve">Creación del plan de sostenibilidad social </t>
  </si>
  <si>
    <t>Código de Integridad 
Política Institucional sobre Equidad y Género</t>
  </si>
  <si>
    <t>Implementación del plan de sostenibilidad social.</t>
  </si>
  <si>
    <r>
      <t xml:space="preserve">Fomentar una cultura organizacional enfocada en liderazgo, creatividad, competitividad, productividad y colaboración, que permita el desarrollo, crecimiento, cualificación y transformación del capital intelectual y el mejoramiento del  </t>
    </r>
    <r>
      <rPr>
        <sz val="10"/>
        <rFont val="Calibri"/>
        <family val="2"/>
        <scheme val="minor"/>
      </rPr>
      <t>ambiente</t>
    </r>
    <r>
      <rPr>
        <sz val="10"/>
        <color theme="1"/>
        <rFont val="Calibri"/>
        <family val="2"/>
        <scheme val="minor"/>
      </rPr>
      <t xml:space="preserve"> Institucional de las UTS.</t>
    </r>
  </si>
  <si>
    <t>Dirección Administrativa de  Talento Humano
Grupo de Bienestar Institucional</t>
  </si>
  <si>
    <t>ALTA 
(80%)</t>
  </si>
  <si>
    <t>Número de capacitaciones implementadas con relación al total de capacitaciones programadas.</t>
  </si>
  <si>
    <t xml:space="preserve">Planes Institucionales de Capacitación -  PIC vigencias anteriores
</t>
  </si>
  <si>
    <t>Estructurar procesos sistémicos para ser dinámicos y flexibles y evitar la complejidad de trámites.</t>
  </si>
  <si>
    <t xml:space="preserve">
Oficina de Planeación
</t>
  </si>
  <si>
    <t>MEDIA 
(74%)</t>
  </si>
  <si>
    <t>Número de procesos  racionalizados con relación al total de procesos programados para su  racionalización.</t>
  </si>
  <si>
    <t>1-Resolución 02476 (Creación de Grupos de Trabajo)
2-Plan de Racionalización de Tramites 2020 
(https://www.uts.edu.co/sitio/wp-content/uploads/2020/04/Plan_Racionalizacion_Tramites-2020.pdf)</t>
  </si>
  <si>
    <t>Fortalecer el plan de capacitación para la comunidad Uteísta que incluya temáticas de diversidad e inclusión, enfoque de género, equidad, democracia, construcción de paz, resolución de conflictos, entre otras.</t>
  </si>
  <si>
    <t xml:space="preserve">
Grupo de Bienestar Institucional
Dirección Administrativa de Talento Humano</t>
  </si>
  <si>
    <t>Número de capacitaciones y/o actividades realizadas con respecto al total de capacitaciones y/o actividades programadas.</t>
  </si>
  <si>
    <t>1-Plan Institucional de Capcacitación PIC
2-Código de Integridad 
3-Política Institucional sobre Equidad y Género</t>
  </si>
  <si>
    <t>Fortalecer la arquitectura institucional que soporta las estrategias, planes y actividades propias del quehacer institucional para lograr articulación entre los diferentes procesos dando cumplimiento a las labores misionales.</t>
  </si>
  <si>
    <t>Oficina de Planeación
Dirección de Investigaciones y Extensión
Oficina de Desarrollo Académico
Dirección Administrativa de Talento Humano</t>
  </si>
  <si>
    <t>ALTA 
(98%)</t>
  </si>
  <si>
    <t xml:space="preserve">Crear el proceso o grupo de trabajo de centralización de datos estadísticos, históricos y los que por su caracterización y definición se requieran para adelantar acciones de autoevaluación, registro calificado, acreditación y demás procesos de analítica institucional. </t>
  </si>
  <si>
    <t>Resolución 02-476 (Creación de Grupos de Trabajo)</t>
  </si>
  <si>
    <t>Crear el proceso o grupo de trabajo de observatorio encargado de  vigilancia tecnológica.</t>
  </si>
  <si>
    <t>Oficina de Relaciones
Interinstitucionales e
Internacionales
Decanaturas de Facultad
Dirección de Investigaciones y Extensión
Bienestar Institucional
Direccion Administrativa de Talento Humano</t>
  </si>
  <si>
    <t>Crear proceso o grupo de trabajo para  movilidad y visibilidad académica que propicie estrategias de intercambio de conocimientos y experiencias pedagógicas, académicas, científicas y culturales, nivel nacional e internacional.</t>
  </si>
  <si>
    <t>REPRESENTATIVIDAD EFECTIVA</t>
  </si>
  <si>
    <t>Fortalecer la representación de estudiantes, docentes, administrativos y graduados en el modelo de gobernanza de las UTS proporcionándoles  orientación o capacitación en los procesos institucionales y tendencias nacionales sobre educación.</t>
  </si>
  <si>
    <t xml:space="preserve">Secretaria General
</t>
  </si>
  <si>
    <t>Porcentaje de participación para fortalecer la representación de estudiantes, docentes, administrativos y graduados en el modelo de gobernanza de las UTS</t>
  </si>
  <si>
    <t>Estatuto General
Reglamento Comité Electoral
Código de Buen Gobierno (http://uts.edu.co/portal/files/CODIGO%20DE%20BUEN%20GOBIERNO.pdf)</t>
  </si>
  <si>
    <t>GOBIERNO, TRANSPARENCIA Y PARTICIPACIÓN</t>
  </si>
  <si>
    <t>Fortalecer lineamientos de transparencia, con el fin de informar y explicar los avances y resultados de la gestión realizada a través de un diálogo público en el cual participe cada uno de los líderes de los procesos, como productores de la información en sus diferentes niveles: estratégicos, misionales y de apoyo.</t>
  </si>
  <si>
    <t>Oficina de Planeación 
Grupo de Atención al
Ciudadano</t>
  </si>
  <si>
    <t>Número de espacios eficientes de participación de las funciones institucionales de docencia, investigación, extensión y gestión.</t>
  </si>
  <si>
    <t>Estrategia de Rendición de Cuentas (http://www.uts.edu.co/portal/files/estrategia_rendicion_cuentas.pdf) Informe de seguimiento al cumplimiento de la Ley de Transparencia
• Informe de seguimiento al cumplimiento de la ley de transparencia y del derecho de acceso a la información pública nacional (ley 1712 de 2014), a 30 de junio de 2018 en las unidades tecnológicas de Santander</t>
  </si>
  <si>
    <t xml:space="preserve">Porcentaje de cumplimiento al índice de transparencia y acceso a la información pública nacional </t>
  </si>
  <si>
    <t>Reporte Auditoría ITA 2019_2
Informe Consolidado de Resultados 99%</t>
  </si>
  <si>
    <t>Generar espacios y encuentros presenciales y virtuales para lograr una efectiva apropiación del código de integridad institucional.</t>
  </si>
  <si>
    <t>Dirección Administrativa de Talento Humano.</t>
  </si>
  <si>
    <t>Número de encuentros realizados con respecto al total de encuentros programados.</t>
  </si>
  <si>
    <t>Código de integridad</t>
  </si>
  <si>
    <t>COMUNICACIÓN Y DIFUSIÓN DE LA INFORMACIÓN</t>
  </si>
  <si>
    <t xml:space="preserve">Fortalecer estrategias de comunicación que visibilicen el resultado de la gestión de la educación de calidad impartida, con la finalidad de posicionar a la institución en el ámbito regional y nacional, a su vez incrementar y estabilizar el número de matriculados de forma que se contribuya a la sostenibilidad financiera de las UTS. </t>
  </si>
  <si>
    <t xml:space="preserve">Secretaría General                                   Grupo Mercadeo y Protocolo Institucional.
Grupo Comunicaciones e Imagen Institucional.
Grupo Prensa y Medios de Representación Institucional.  </t>
  </si>
  <si>
    <t>Creación de plan estratégico de mercadeo para posicionar a la institución.</t>
  </si>
  <si>
    <t>Plan  estratégico de comunicaciones y               mercadeo.</t>
  </si>
  <si>
    <t>Implementación de plan estratégico de mercadeo.</t>
  </si>
  <si>
    <t xml:space="preserve">Plan estratégico de comunicaciones y mercadeo. </t>
  </si>
  <si>
    <t>Creación de plan estratégico de comunicación para posicionar a la institución.</t>
  </si>
  <si>
    <t>Implementación de plan estratégico de comunicaciones.</t>
  </si>
  <si>
    <t>EFICIENCIA Y SOSTENIBILIDAD FINANCIERA</t>
  </si>
  <si>
    <t xml:space="preserve">Formular e implementar un plan de sostenibilidad financiera, que proyecte una estabilidad presupuestal en el mediano y largo plazo, capaz de financiar compromisos académicos, investigativos y administrativos; de gastos presentes y futuros bajo el contexto del déficit y la deuda pública. </t>
  </si>
  <si>
    <t xml:space="preserve">Alta Dirección
Vicerrectoría Administrativa y Financiera </t>
  </si>
  <si>
    <t xml:space="preserve">ALTA
(84%)
</t>
  </si>
  <si>
    <t>Presentación y aprobación de un documento que contenga el plan de sostenibilidad financiera.</t>
  </si>
  <si>
    <t xml:space="preserve">Activo corriente / Pasivo corriente </t>
  </si>
  <si>
    <t>Igual o mayor a 1</t>
  </si>
  <si>
    <t>Porcentaje de ingresos ejecutados respecto de los ingresos programados para la vigencia</t>
  </si>
  <si>
    <t>Porcentaje de gastos ejecutados respecto de los gastos programados para la vigencia</t>
  </si>
  <si>
    <t>Porcentaje de  inversión en lo misional respecto del total de los gastos.</t>
  </si>
  <si>
    <t>Porcentaje de inversión vigencia 2020 / Plan de Sostenibilidad Financiera</t>
  </si>
  <si>
    <t>Fortalecer fuentes de financiación institucional, diversificación  de los ingresos y racionalización del gasto  con el fin de apoyar procesos académicos y administrativos de calidad.</t>
  </si>
  <si>
    <t xml:space="preserve">Alta Dirección
Vicerrectoría Administrativa y Financiera
Dirección de Investigaciones y Extensión </t>
  </si>
  <si>
    <t>Número de acciones orientadas a fortalecer los ingresos y la racionalización del gasto.</t>
  </si>
  <si>
    <t>Plan de Sostenibilidad Financiera</t>
  </si>
  <si>
    <t>GESTIÓN, COMPROMISO Y SOSTENIBILIDAD AMBIENTAL</t>
  </si>
  <si>
    <t>Implementar el plan de sostenibilidad ambiental con todos los actores de la comunidad Uteísta, de forma que se asuma el reto para fomentar la cultura verde en la institución en procura de lograr espacios amigables con el medio ambiente.</t>
  </si>
  <si>
    <t xml:space="preserve">Vicerrectoría Administrativa y Financiera
Programa de Ingeniería Ambiental
Dirección Administrativa de Talento Humano- </t>
  </si>
  <si>
    <t>Número de  campañas  desarrolladas  para  el fomento de la cultura verde en la comunidad uteísta.</t>
  </si>
  <si>
    <t>Plan de Sostenibilidad Ambiental</t>
  </si>
  <si>
    <t>Número de convenios  generados  o  de suscripciones a redes de conocimiento de sostenibilidad ambiental</t>
  </si>
  <si>
    <t>Número  de acciones que contribuyan a la conservación del medio ambiente dentro y fuera de la Institución.</t>
  </si>
  <si>
    <t>RESPONSABILIDAD Y SOSTENIBILIDAD  SOCIAL</t>
  </si>
  <si>
    <t>Fortalecer el bienestar social  y el desarrollo integral en correspondencia con el modelo de gobernanza UteÍsta, extendida a la comunidad Institucional.</t>
  </si>
  <si>
    <t>Dirección Administrativa de Talento Humano
Vicerrectoría Administrativa y Financiera
Grupo de Bienestar Institucional</t>
  </si>
  <si>
    <t xml:space="preserve">Número de estrategias aplicadas para el fortalecimiento de bienestar social extendida a la comunidad Institucional. </t>
  </si>
  <si>
    <t xml:space="preserve">Plan de capacitación Institucional - Programa  de bienestar y estimulo - Fuente Bienestar </t>
  </si>
  <si>
    <t>Crear  un programa de responsabilidad social que aporte a la gestión organizacional de la institución y su entorno.</t>
  </si>
  <si>
    <t xml:space="preserve">Dirección Administrativa de Talento Humano
Vicerrectoría Administrativa y Financiera </t>
  </si>
  <si>
    <t>Documento  programa de responsabilidad social que aporte a la gestión organizacional de la institución y su entorno.</t>
  </si>
  <si>
    <t>Porcentaje de acciones contempladas en el programa de responsabilidad social institucional.</t>
  </si>
  <si>
    <t>Programa de Responsabilidad Social</t>
  </si>
  <si>
    <t>CONOCIMIENTO DE LA GESTIÓN INSTITUCIONAL</t>
  </si>
  <si>
    <t>Sensibilizar a la comunidad Uteísta en temas propios de cada área de gestión que fomenten la cultura de planear, hacer, verificar y actuar en pro del mejoramiento continuo de la institución.</t>
  </si>
  <si>
    <t>Oficina de Planeación
Vicerrectoría Administrativa y Financera</t>
  </si>
  <si>
    <r>
      <t>Jornadas de  Sensibilización a la comunidad uteísta en temas que fomenten la cultura de calidad y el mejoramiento continuo de la institución.</t>
    </r>
    <r>
      <rPr>
        <sz val="10"/>
        <color theme="5" tint="-0.499984740745262"/>
        <rFont val="Calibri"/>
        <family val="2"/>
        <scheme val="minor"/>
      </rPr>
      <t/>
    </r>
  </si>
  <si>
    <t>Jornadas de Inducción y Reinducción UTS</t>
  </si>
  <si>
    <t xml:space="preserve">Fomentar el conocimiento, apropiación y sentido de pertenencia de la comunidad Uteísta en los diferentes sistemas integrados de gestión. </t>
  </si>
  <si>
    <t>Oficina de Planeación
Dirección Administrativa de
Talento Humano</t>
  </si>
  <si>
    <t>BAJA
(54%</t>
  </si>
  <si>
    <t>Formación a personal de carrera administrativa y libre nombramiento y remoción vinculado a la institución en sistemas integrados de gestión que apoyan los procesos institucionales.</t>
  </si>
  <si>
    <r>
      <t xml:space="preserve">Grupo de Seguridad y Salud en el Trabajo
Oficina de Planeación/ SIG
Grupo Gestión Documental
Programa Ingeniería </t>
    </r>
    <r>
      <rPr>
        <sz val="10"/>
        <rFont val="Calibri"/>
        <family val="2"/>
        <scheme val="minor"/>
      </rPr>
      <t xml:space="preserve">Ambiental </t>
    </r>
  </si>
  <si>
    <t>Evento "Semana Sistemas Integrados de Gestión".</t>
  </si>
  <si>
    <t>Semana de Seguridad y Salud en el Trabajo</t>
  </si>
  <si>
    <t>SISTEMAS INTEGRADOS DE GESTIÓN</t>
  </si>
  <si>
    <t>Fortalecimiento  del sistema de gestión de seguridad y salud en el trabajo.</t>
  </si>
  <si>
    <t>Grupo de Seguridad y Salud en el Trabajo - Alta Dirección (Delegado)</t>
  </si>
  <si>
    <t>Diagnóstico y plan de mejoramiento del sistema de gestión de seguridad y salud en el trabajo.</t>
  </si>
  <si>
    <t xml:space="preserve"> Decreto 1072 de 2015 Cap. 6- Resolución 0312 de 2019 - Certificación de ARL Autoevaluación de los Estándares Mínimos SGSST definidos en la Resolución 0312/2019</t>
  </si>
  <si>
    <t>Grupo de Seguridad y Salud en el Trabajo
Alta Dirección (Delegado)</t>
  </si>
  <si>
    <t xml:space="preserve">Implementación del sistema de gestión de seguridad y salud en el trabajo. </t>
  </si>
  <si>
    <t>Plan de Trabajo e Informes de Gestión del SGSST 2016,2017,2018 y 2019 y Plan de Trabajo 2020</t>
  </si>
  <si>
    <t>Grupo de Seguridad y Salud en el Trabajo</t>
  </si>
  <si>
    <t>Documento mejoramiento del sistema de gestión de seguridad y salud en el trabajo UTS conforme a los lineamientos establecidos por ISO en el marco de seguridad y salud en el Trabajo.</t>
  </si>
  <si>
    <t>Sistema de Gestión de Seguridad y Salud en el Trabajo</t>
  </si>
  <si>
    <t xml:space="preserve">Certificar y fortalecer el sistema de gestión ambiental. </t>
  </si>
  <si>
    <r>
      <t xml:space="preserve">Vicerrectoría Adminstrativa y Financiera 
Programa Ingeniería  Ambiental
</t>
    </r>
    <r>
      <rPr>
        <sz val="10"/>
        <rFont val="Calibri"/>
        <family val="2"/>
        <scheme val="minor"/>
      </rPr>
      <t>Alta Dirección (Delegado)</t>
    </r>
  </si>
  <si>
    <t>Documentar y desarrollar acciones para la  implementación del sistema de gestión ambiental.</t>
  </si>
  <si>
    <t>Plan Sostenibilidad Ambiental 
Norma ISO 14001</t>
  </si>
  <si>
    <t>Vicerrectoría Adminstrativa y Financiera 
Programa Ing. Ambiental</t>
  </si>
  <si>
    <t xml:space="preserve">Certificación del sistema de gestión ambiental ante el ente correspondiente.  </t>
  </si>
  <si>
    <t xml:space="preserve">Plan Sostenibilidad Ambiental
</t>
  </si>
  <si>
    <t>Fortalecimiento y mantenimiento de la certificación del sistema de gestión ambiental.</t>
  </si>
  <si>
    <t>Certificación del Sistema de Gestión Ambiental</t>
  </si>
  <si>
    <t>Implementar el  programa de gestión documental y el plan institucional de archivo.</t>
  </si>
  <si>
    <t>Grupo de Gestión Documental</t>
  </si>
  <si>
    <t>ALTA
(93%)</t>
  </si>
  <si>
    <t>Implementar el modelo de gestión de documentos electrónicos.</t>
  </si>
  <si>
    <t>Modelo de Gestión de Documentos Electrónicos /  Diagnóstico de Documentos Electrónicos</t>
  </si>
  <si>
    <r>
      <t xml:space="preserve"> 
</t>
    </r>
    <r>
      <rPr>
        <sz val="10"/>
        <color theme="1"/>
        <rFont val="Calibri (Cuerpo)"/>
      </rPr>
      <t>RECURSOS PROPIOS DE INVERSION</t>
    </r>
    <r>
      <rPr>
        <sz val="10"/>
        <color theme="1"/>
        <rFont val="Calibri"/>
        <family val="2"/>
        <scheme val="minor"/>
      </rPr>
      <t xml:space="preserve">
RECURSOS DE FUNCIONAMIENTO</t>
    </r>
  </si>
  <si>
    <t>Implementar un repositorio de documentos institucionales (Digitalización/ Big Data).</t>
  </si>
  <si>
    <t>Programa de Preservación Digital</t>
  </si>
  <si>
    <t>50 metros lineales</t>
  </si>
  <si>
    <t>Mantener el programa de gestión documental y el plan institucional de archivo.</t>
  </si>
  <si>
    <t>Programa de Gestión y Plan Institucional de Archivo</t>
  </si>
  <si>
    <t>Plan de fortalecimiento de la cultura de gestión documental en la comunidad uteísta.</t>
  </si>
  <si>
    <t>Capacitaciones de Gestión Documental</t>
  </si>
  <si>
    <t>Mantener la certificación del sistema de calidad (NTC ISO 9001:2015).</t>
  </si>
  <si>
    <t>Oficina de Planeación</t>
  </si>
  <si>
    <t>MEDIA
(78%)</t>
  </si>
  <si>
    <t>Desarrollar auditorías de seguimiento por el ente certificador</t>
  </si>
  <si>
    <t>Certificación del Sistema de Calidad. Fecha: Junio 07 / 2019-Junio 02 / 2022</t>
  </si>
  <si>
    <t>Desarrollar auditorías de recertificación por el ente certificador</t>
  </si>
  <si>
    <t>Iniciar un programa de acreditación de pruebas de laboratorios para ofrecer servicios a los gremios y sectores empresariales.</t>
  </si>
  <si>
    <r>
      <t>Grupo de Extensión Institucional
Decanaturas de Facultad
Oficina de Relaciones
Interinstitucionales e
Internacionales</t>
    </r>
    <r>
      <rPr>
        <sz val="10"/>
        <color rgb="FFFF0000"/>
        <rFont val="Calibri"/>
        <family val="2"/>
        <scheme val="minor"/>
      </rPr>
      <t xml:space="preserve"> </t>
    </r>
  </si>
  <si>
    <t>Estudio de las pruebas de laboratorios convenientemente a acreditar para ofrecer servicios a los gremios y sectores empresariales.</t>
  </si>
  <si>
    <t>Acreditación de pruebas  de laboratorios para ofrecer servicios a los gremios y sectores empresariales.</t>
  </si>
  <si>
    <t xml:space="preserve">Estudio Pruebas de Laboratorios </t>
  </si>
  <si>
    <t>PLANEACIÓN Y GESTIÓN</t>
  </si>
  <si>
    <t>Actualizar de forma continua y articulada los indicadores de gestión de los procesos institucionales para la toma de decisiones y rendición de cuentas.</t>
  </si>
  <si>
    <t>Estrategias de fortalecimiento sobre indicadores de gestión institucional</t>
  </si>
  <si>
    <t>Informe de Revisión por la Dirección del Sistema Integrado de Gestión 2019-2020</t>
  </si>
  <si>
    <t>Fortalecer los sistemas de información institucional para la planeación, monitoreo, evaluación de actividades y toma de decisiones, de forma que se articulen con los sistemas nacionales de información de la educación superior y demás entes correspondientes.</t>
  </si>
  <si>
    <t xml:space="preserve">Oficina de Planeación
Grupo Recursos Informáticos </t>
  </si>
  <si>
    <t>Adquisición de software para la gestión y control de información institucional</t>
  </si>
  <si>
    <t>Mantenimiento de software para la gestión y control de información institucional</t>
  </si>
  <si>
    <t xml:space="preserve"> Software para Gestión y Control de Información Institucional</t>
  </si>
  <si>
    <t>Monitoreo y control de los Sistemas de Información Institucional para verificar su funcionamiento y reporte a los sistemas nacionales de información de la educación superior y demás entes correspondientes.</t>
  </si>
  <si>
    <t>SEGUIMIENTO Y CONTROL</t>
  </si>
  <si>
    <t>Fortalecer instrumentos y procedimientos de medición y evaluación de  resultados de  los procesos misionales y administrativos.</t>
  </si>
  <si>
    <t>Oficina de Planeación
Grupo de Recursos Informáticos</t>
  </si>
  <si>
    <t>Adquisición de un aplicativo de seguimiento, medición y evaluación de planes, programas, proyectos e indicadores.</t>
  </si>
  <si>
    <t>Generar informes de resultados cualitativos y cuantitativos que permitan realizar análisis en términos de calidad y mejora continua, en consonancia con los lineamientos aplicados para las instituciones de educación superior.</t>
  </si>
  <si>
    <t>Grupo de Recursos Informáticos
Líderes de Procesos</t>
  </si>
  <si>
    <t>Informes de resultados cualitativos y cuantitativos que permitan realizar análisis en términos de calidad y mejora continua,</t>
  </si>
  <si>
    <t>Informes: Plan de Acción Institucional, Plan de Acción Integrado Institucional, Ejecucion de Plan de Accion 
Informes de Gestión
Informes Estadísticos Institucionales</t>
  </si>
  <si>
    <t>UTS DEL CONOCIMIENTO</t>
  </si>
  <si>
    <t>LINEA 1: EXCELENCIA ACADÉMICA</t>
  </si>
  <si>
    <t>ALTA</t>
  </si>
  <si>
    <t>FACTOR 1. Proyecto Educativo del Programa e Identidad Institucional</t>
  </si>
  <si>
    <t>UTS INNOVA</t>
  </si>
  <si>
    <t>LíNEA 2: CIENCIA E INVESTIGACIÓN</t>
  </si>
  <si>
    <t>MEDIA</t>
  </si>
  <si>
    <t>FACTOR 2. Estudiantes</t>
  </si>
  <si>
    <t>UTS GLOBAL</t>
  </si>
  <si>
    <t xml:space="preserve">LINEA 3: EXTENSIÓN Y GESTIÓN SOCIAL </t>
  </si>
  <si>
    <t xml:space="preserve">BAJA </t>
  </si>
  <si>
    <t>FACTOR 3. Profesores</t>
  </si>
  <si>
    <t>UTS HUMANA</t>
  </si>
  <si>
    <t>LINEA 4: ASEGURAMIENTO DE LA CALIDAD DE LA EDUCACIÓN</t>
  </si>
  <si>
    <t xml:space="preserve">MUY BAJA </t>
  </si>
  <si>
    <t>FACTOR 4. Egresados</t>
  </si>
  <si>
    <t>UTS SOSTENIBLE</t>
  </si>
  <si>
    <t>LINEA 5: INNOVACIÓN Y PRODUCTIVIDAD</t>
  </si>
  <si>
    <t>FACTOR 5. Aspectos Académicos y Resultados de Aprendizaje</t>
  </si>
  <si>
    <t>LINEA 6: EMPRENDIMIENTO, CREATIVIDAD Y COMPETITIVIDAD</t>
  </si>
  <si>
    <t>FACTOR 6. Permanencia y Graduación</t>
  </si>
  <si>
    <t>LINEA 7: INTERNACIONALIZACIÓN, VISIBILIDAD E IMPACTO</t>
  </si>
  <si>
    <t>FACTOR 7. Interacción con el Entorno Nacional e Internacional</t>
  </si>
  <si>
    <t>LINEA 8: COMUNIDAD Y CULTURA INSTITUCIONAL</t>
  </si>
  <si>
    <t>FACTOR 8. Aportes de la investigación, la innovación, el desarrollo tecnológico y la creación, asociados al programa académico</t>
  </si>
  <si>
    <t>LINEA 9: DIVERSIDAD E INCLUSIÓN</t>
  </si>
  <si>
    <t>FACTOR 9. Bienestar de la comunidad académica del programa</t>
  </si>
  <si>
    <t>LINEA 10: GOBERNABILIDAD Y GOBERNANZA</t>
  </si>
  <si>
    <t>FACTOR 10. Medios Educativos y Ambientes de Aprendizaje</t>
  </si>
  <si>
    <t>LINEA 11: DESARROLLO, GESTIÓN Y SOSTENIBILIDAD</t>
  </si>
  <si>
    <t>FACTOR 11. Organización, Administración y Financiación del programa académico</t>
  </si>
  <si>
    <t>LINEA 12: ASEGURAMIENTO DE LA CALIDAD DE LA GESTIÓN</t>
  </si>
  <si>
    <t>FACTOR 12. Recursos Físicos y Tecnológicos</t>
  </si>
  <si>
    <t>CUATRIMESTRAL</t>
  </si>
  <si>
    <t xml:space="preserve">RECURSOS PROPIOS DE INVERSIÓN </t>
  </si>
  <si>
    <t>CONDICIÓN 1. Denominación del Programa</t>
  </si>
  <si>
    <t>CONDICIÓN 2. Justificación del Programa</t>
  </si>
  <si>
    <t>CONDICIÓN 3. Aspectos Curriculares</t>
  </si>
  <si>
    <t>CONDICIÓN 4. Organización Actividades Académicas y Proceso Formativo</t>
  </si>
  <si>
    <t>CONDICIÓN 5. Investigación, Innovación y/o Creación Artistica y Cultural</t>
  </si>
  <si>
    <t>CONDICIÓN 6. Relación con el Sector Externo</t>
  </si>
  <si>
    <t>CONDICIÓN 7. Profesores</t>
  </si>
  <si>
    <t>CONDICIÓN 8. Medios Educativos</t>
  </si>
  <si>
    <t>CONDICIÓN 9. Infraestructura Física y Tecnológica</t>
  </si>
  <si>
    <t>CONDICIÓN 10. Mecanismos de selección y evaluación de estudiantes y profesores</t>
  </si>
  <si>
    <t>CONDICIÓN 11. Estructura Administrativa y Académica</t>
  </si>
  <si>
    <t>CONDICIÓN 12. Cultura de la Autoevaluación</t>
  </si>
  <si>
    <t>CONDICIÓN 13. Programa de Egresados</t>
  </si>
  <si>
    <t>CONDICIÓN 14. Modelo de Bienestar</t>
  </si>
  <si>
    <t>CONDICIÓN 15. Recursos suficientes para garantizar el cumplimiento de las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</si>
</sst>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240A]\ #,##0.00"/>
  </numFmts>
  <fonts count="33">
    <font>
      <sz val="12"/>
      <color theme="1"/>
      <name val="Calibri"/>
      <family val="2"/>
      <scheme val="minor"/>
    </font>
    <font>
      <sz val="11"/>
      <color theme="1"/>
      <name val="Calibri"/>
      <family val="2"/>
      <scheme val="minor"/>
    </font>
    <font>
      <sz val="12"/>
      <color theme="1"/>
      <name val="Calibri"/>
      <family val="2"/>
      <scheme val="minor"/>
    </font>
    <font>
      <b/>
      <sz val="16"/>
      <color theme="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b/>
      <sz val="9"/>
      <color indexed="81"/>
      <name val="Tahoma"/>
      <family val="2"/>
    </font>
    <font>
      <sz val="9"/>
      <color indexed="81"/>
      <name val="Tahoma"/>
      <family val="2"/>
    </font>
    <font>
      <u/>
      <sz val="12"/>
      <color theme="10"/>
      <name val="Calibri"/>
      <family val="2"/>
      <scheme val="minor"/>
    </font>
    <font>
      <u/>
      <sz val="12"/>
      <color theme="11"/>
      <name val="Calibri"/>
      <family val="2"/>
      <scheme val="minor"/>
    </font>
    <font>
      <sz val="10"/>
      <name val="Calibri"/>
      <family val="2"/>
      <scheme val="minor"/>
    </font>
    <font>
      <sz val="10"/>
      <color rgb="FFFF0000"/>
      <name val="Calibri"/>
      <family val="2"/>
      <scheme val="minor"/>
    </font>
    <font>
      <b/>
      <sz val="10"/>
      <name val="Calibri"/>
      <family val="2"/>
      <scheme val="minor"/>
    </font>
    <font>
      <sz val="9"/>
      <color theme="1"/>
      <name val="Calibri"/>
      <family val="2"/>
      <scheme val="minor"/>
    </font>
    <font>
      <sz val="10"/>
      <color rgb="FF000000"/>
      <name val="Calibri"/>
      <family val="2"/>
      <scheme val="minor"/>
    </font>
    <font>
      <sz val="9"/>
      <color rgb="FF00B0F0"/>
      <name val="Calibri"/>
      <family val="2"/>
    </font>
    <font>
      <sz val="10"/>
      <color theme="5" tint="-0.499984740745262"/>
      <name val="Calibri"/>
      <family val="2"/>
      <scheme val="minor"/>
    </font>
    <font>
      <sz val="10"/>
      <color rgb="FF000000"/>
      <name val="Calibri"/>
      <family val="2"/>
    </font>
    <font>
      <sz val="10"/>
      <name val="Calibri"/>
      <family val="2"/>
    </font>
    <font>
      <sz val="10"/>
      <color theme="1"/>
      <name val="Calibri"/>
      <family val="2"/>
    </font>
    <font>
      <sz val="8"/>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2"/>
      <color theme="0"/>
      <name val="Calibri"/>
      <family val="2"/>
      <scheme val="minor"/>
    </font>
    <font>
      <b/>
      <sz val="12"/>
      <color theme="1"/>
      <name val="Calibri"/>
      <family val="2"/>
      <scheme val="minor"/>
    </font>
    <font>
      <b/>
      <sz val="11"/>
      <name val="Calibri"/>
      <family val="2"/>
      <scheme val="minor"/>
    </font>
    <font>
      <b/>
      <sz val="14"/>
      <color theme="0"/>
      <name val="Calibri"/>
      <family val="2"/>
      <scheme val="minor"/>
    </font>
    <font>
      <b/>
      <sz val="10"/>
      <color indexed="81"/>
      <name val="Calibri"/>
      <family val="2"/>
    </font>
    <font>
      <sz val="12"/>
      <color theme="9" tint="0.59999389629810485"/>
      <name val="Calibri"/>
      <family val="2"/>
      <scheme val="minor"/>
    </font>
    <font>
      <sz val="8"/>
      <color theme="0"/>
      <name val="Calibri"/>
      <family val="2"/>
      <scheme val="minor"/>
    </font>
    <font>
      <sz val="10"/>
      <color theme="1"/>
      <name val="Calibri (Cuerpo)"/>
    </font>
  </fonts>
  <fills count="16">
    <fill>
      <patternFill patternType="none"/>
    </fill>
    <fill>
      <patternFill patternType="gray125"/>
    </fill>
    <fill>
      <patternFill patternType="solid">
        <fgColor theme="9"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499984740745262"/>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bottom/>
      <diagonal/>
    </border>
    <border>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style="thin">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s>
  <cellStyleXfs count="16">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435">
    <xf numFmtId="0" fontId="0" fillId="0" borderId="0" xfId="0"/>
    <xf numFmtId="0" fontId="6" fillId="6" borderId="6"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quotePrefix="1" applyFont="1" applyBorder="1" applyAlignment="1">
      <alignment horizontal="center" vertical="center" wrapText="1"/>
    </xf>
    <xf numFmtId="9" fontId="5" fillId="0" borderId="15"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5"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quotePrefix="1" applyFont="1" applyBorder="1" applyAlignment="1">
      <alignment horizontal="center"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8" borderId="10" xfId="0" applyFont="1" applyFill="1" applyBorder="1" applyAlignment="1">
      <alignment horizontal="center" vertical="center" wrapText="1"/>
    </xf>
    <xf numFmtId="0" fontId="5" fillId="0" borderId="0" xfId="0" applyFont="1"/>
    <xf numFmtId="9" fontId="5" fillId="0" borderId="1" xfId="0" applyNumberFormat="1" applyFont="1" applyBorder="1" applyAlignment="1">
      <alignment horizontal="center" vertical="center" wrapText="1"/>
    </xf>
    <xf numFmtId="9" fontId="5" fillId="0" borderId="13" xfId="0" applyNumberFormat="1" applyFont="1" applyBorder="1" applyAlignment="1">
      <alignment horizontal="center" vertical="center" wrapText="1"/>
    </xf>
    <xf numFmtId="0" fontId="11" fillId="0" borderId="10" xfId="0" applyFont="1" applyBorder="1" applyAlignment="1">
      <alignment horizontal="center" vertical="center" wrapText="1"/>
    </xf>
    <xf numFmtId="0" fontId="5" fillId="0" borderId="29" xfId="0" applyFont="1" applyBorder="1" applyAlignment="1">
      <alignment horizontal="center" vertical="center" wrapText="1"/>
    </xf>
    <xf numFmtId="9" fontId="5" fillId="0" borderId="16" xfId="0" applyNumberFormat="1" applyFont="1" applyBorder="1" applyAlignment="1">
      <alignment horizontal="center" vertical="center" wrapText="1"/>
    </xf>
    <xf numFmtId="1" fontId="5" fillId="8" borderId="1" xfId="0" applyNumberFormat="1" applyFont="1" applyFill="1" applyBorder="1" applyAlignment="1">
      <alignment horizontal="center" vertical="center" wrapText="1"/>
    </xf>
    <xf numFmtId="9" fontId="5" fillId="8" borderId="1" xfId="0" applyNumberFormat="1" applyFont="1" applyFill="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0" fontId="5" fillId="8" borderId="20" xfId="0" applyFont="1" applyFill="1" applyBorder="1" applyAlignment="1">
      <alignment horizontal="center" vertical="center" wrapText="1"/>
    </xf>
    <xf numFmtId="0" fontId="14" fillId="0" borderId="0" xfId="0" applyFont="1"/>
    <xf numFmtId="9" fontId="11" fillId="0" borderId="6" xfId="0" applyNumberFormat="1" applyFont="1" applyBorder="1" applyAlignment="1">
      <alignment horizontal="center" vertical="center" wrapText="1"/>
    </xf>
    <xf numFmtId="9" fontId="5" fillId="0" borderId="6" xfId="0" applyNumberFormat="1" applyFont="1" applyBorder="1" applyAlignment="1">
      <alignment horizontal="center" vertical="center" wrapText="1"/>
    </xf>
    <xf numFmtId="9" fontId="5" fillId="0" borderId="20" xfId="0" applyNumberFormat="1" applyFont="1" applyBorder="1" applyAlignment="1">
      <alignment horizontal="center" vertical="center" wrapText="1"/>
    </xf>
    <xf numFmtId="1" fontId="5" fillId="0" borderId="10" xfId="0" applyNumberFormat="1" applyFont="1" applyBorder="1" applyAlignment="1">
      <alignment horizontal="center" vertical="center" wrapText="1"/>
    </xf>
    <xf numFmtId="1" fontId="5" fillId="0" borderId="11" xfId="0" applyNumberFormat="1"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1" fontId="5" fillId="0" borderId="13" xfId="0" applyNumberFormat="1" applyFont="1" applyBorder="1" applyAlignment="1">
      <alignment horizontal="center" vertical="center" wrapText="1"/>
    </xf>
    <xf numFmtId="9" fontId="5" fillId="0" borderId="1" xfId="13" applyFont="1" applyFill="1" applyBorder="1" applyAlignment="1">
      <alignment horizontal="center" vertical="center" wrapText="1"/>
    </xf>
    <xf numFmtId="9" fontId="5" fillId="0" borderId="13" xfId="13" applyFont="1" applyFill="1" applyBorder="1" applyAlignment="1">
      <alignment horizontal="center" vertical="center" wrapText="1"/>
    </xf>
    <xf numFmtId="1" fontId="11" fillId="0" borderId="6" xfId="0" applyNumberFormat="1" applyFont="1" applyBorder="1" applyAlignment="1">
      <alignment horizontal="center" vertical="center" wrapText="1"/>
    </xf>
    <xf numFmtId="3" fontId="5" fillId="0" borderId="6" xfId="13" applyNumberFormat="1" applyFont="1" applyFill="1" applyBorder="1" applyAlignment="1">
      <alignment horizontal="center" vertical="center" wrapText="1"/>
    </xf>
    <xf numFmtId="3" fontId="5" fillId="0" borderId="20" xfId="13" applyNumberFormat="1" applyFont="1" applyFill="1" applyBorder="1" applyAlignment="1">
      <alignment horizontal="center" vertical="center" wrapText="1"/>
    </xf>
    <xf numFmtId="0" fontId="6" fillId="7" borderId="32" xfId="0" applyFont="1" applyFill="1" applyBorder="1" applyAlignment="1">
      <alignment vertical="center" wrapText="1"/>
    </xf>
    <xf numFmtId="9" fontId="11" fillId="0" borderId="29" xfId="0" applyNumberFormat="1" applyFont="1" applyBorder="1" applyAlignment="1">
      <alignment horizontal="center" vertical="center" wrapText="1"/>
    </xf>
    <xf numFmtId="9" fontId="5" fillId="0" borderId="29" xfId="13" applyFont="1" applyFill="1" applyBorder="1" applyAlignment="1">
      <alignment horizontal="center" vertical="center" wrapText="1"/>
    </xf>
    <xf numFmtId="9" fontId="5" fillId="0" borderId="30" xfId="13" applyFont="1" applyFill="1" applyBorder="1" applyAlignment="1">
      <alignment horizontal="center" vertical="center" wrapText="1"/>
    </xf>
    <xf numFmtId="0" fontId="11" fillId="0" borderId="15" xfId="0" applyFont="1" applyBorder="1" applyAlignment="1">
      <alignment horizontal="center" vertical="center" wrapText="1"/>
    </xf>
    <xf numFmtId="9" fontId="5" fillId="0" borderId="15" xfId="13"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13" applyNumberFormat="1" applyFont="1" applyFill="1" applyBorder="1" applyAlignment="1">
      <alignment horizontal="center" vertical="center" wrapText="1"/>
    </xf>
    <xf numFmtId="10" fontId="5" fillId="0" borderId="10" xfId="0" applyNumberFormat="1" applyFont="1" applyBorder="1" applyAlignment="1">
      <alignment horizontal="center" vertical="center" wrapText="1"/>
    </xf>
    <xf numFmtId="0" fontId="11" fillId="0" borderId="6"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9" borderId="1" xfId="0" applyFont="1" applyFill="1" applyBorder="1" applyAlignment="1">
      <alignment horizontal="center" vertical="center" wrapText="1"/>
    </xf>
    <xf numFmtId="9" fontId="5" fillId="9" borderId="1" xfId="0" applyNumberFormat="1" applyFont="1" applyFill="1" applyBorder="1" applyAlignment="1">
      <alignment horizontal="center" vertical="center" wrapText="1"/>
    </xf>
    <xf numFmtId="9" fontId="5" fillId="8" borderId="13" xfId="0" applyNumberFormat="1" applyFont="1" applyFill="1" applyBorder="1" applyAlignment="1">
      <alignment horizontal="center" vertical="center" wrapText="1"/>
    </xf>
    <xf numFmtId="0" fontId="5" fillId="0" borderId="6" xfId="0" applyFont="1" applyBorder="1" applyAlignment="1">
      <alignment horizontal="center" vertical="center"/>
    </xf>
    <xf numFmtId="0" fontId="0" fillId="0" borderId="28" xfId="0" applyBorder="1"/>
    <xf numFmtId="0" fontId="0" fillId="0" borderId="0" xfId="0" applyAlignment="1">
      <alignment horizontal="center" vertical="center"/>
    </xf>
    <xf numFmtId="0" fontId="5" fillId="8" borderId="1" xfId="13"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0" fontId="5" fillId="0" borderId="28" xfId="0" applyFont="1" applyBorder="1" applyAlignment="1">
      <alignment horizontal="center" vertical="center" wrapText="1"/>
    </xf>
    <xf numFmtId="0" fontId="0" fillId="0" borderId="0" xfId="0" applyAlignment="1">
      <alignment horizontal="center"/>
    </xf>
    <xf numFmtId="0" fontId="15" fillId="0" borderId="10" xfId="0" applyFont="1" applyBorder="1" applyAlignment="1">
      <alignment horizontal="center" vertical="center" wrapText="1"/>
    </xf>
    <xf numFmtId="0" fontId="5" fillId="0" borderId="31" xfId="0" applyFont="1" applyBorder="1" applyAlignment="1">
      <alignment horizontal="center" vertical="center" wrapText="1"/>
    </xf>
    <xf numFmtId="0" fontId="11" fillId="8" borderId="10" xfId="0" applyFont="1" applyFill="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5" xfId="0" applyFont="1" applyBorder="1" applyAlignment="1">
      <alignment horizontal="center" vertical="center" wrapText="1"/>
    </xf>
    <xf numFmtId="3" fontId="18" fillId="0" borderId="15" xfId="0" applyNumberFormat="1" applyFont="1" applyBorder="1" applyAlignment="1">
      <alignment horizontal="center" vertical="center" wrapText="1"/>
    </xf>
    <xf numFmtId="9" fontId="5" fillId="0" borderId="31" xfId="0" applyNumberFormat="1" applyFont="1" applyBorder="1" applyAlignment="1">
      <alignment horizontal="center" vertical="center" wrapText="1"/>
    </xf>
    <xf numFmtId="9" fontId="5" fillId="0" borderId="34" xfId="0" applyNumberFormat="1" applyFont="1" applyBorder="1" applyAlignment="1">
      <alignment horizontal="center" vertical="center" wrapText="1"/>
    </xf>
    <xf numFmtId="0" fontId="19" fillId="10" borderId="1" xfId="0" applyFont="1" applyFill="1" applyBorder="1" applyAlignment="1">
      <alignment horizontal="center" vertical="center" wrapText="1"/>
    </xf>
    <xf numFmtId="0" fontId="0" fillId="0" borderId="0" xfId="0" applyAlignment="1">
      <alignment vertical="center"/>
    </xf>
    <xf numFmtId="0" fontId="5" fillId="8" borderId="1"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6" fillId="7" borderId="9" xfId="0" applyFont="1" applyFill="1" applyBorder="1" applyAlignment="1">
      <alignment horizontal="left" vertical="center" wrapText="1"/>
    </xf>
    <xf numFmtId="0" fontId="20" fillId="0" borderId="1" xfId="0" applyFont="1" applyBorder="1" applyAlignment="1">
      <alignment horizontal="center" vertical="center" wrapText="1"/>
    </xf>
    <xf numFmtId="0" fontId="11" fillId="8" borderId="6"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19"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20" fillId="0" borderId="6" xfId="0" applyFont="1" applyBorder="1" applyAlignment="1">
      <alignment horizontal="center" vertical="center" wrapText="1"/>
    </xf>
    <xf numFmtId="49" fontId="19" fillId="0" borderId="6" xfId="0" applyNumberFormat="1" applyFont="1" applyBorder="1" applyAlignment="1">
      <alignment horizontal="center" vertical="center" wrapText="1"/>
    </xf>
    <xf numFmtId="3" fontId="18" fillId="0" borderId="1" xfId="0" applyNumberFormat="1" applyFont="1" applyBorder="1" applyAlignment="1">
      <alignment horizontal="center" vertical="center" wrapText="1"/>
    </xf>
    <xf numFmtId="0" fontId="18" fillId="10" borderId="6" xfId="0" applyFont="1" applyFill="1" applyBorder="1" applyAlignment="1">
      <alignment horizontal="center" vertical="center" wrapText="1"/>
    </xf>
    <xf numFmtId="3" fontId="18" fillId="0" borderId="6" xfId="0" applyNumberFormat="1" applyFont="1" applyBorder="1" applyAlignment="1">
      <alignment horizontal="center" vertical="center" wrapText="1"/>
    </xf>
    <xf numFmtId="9" fontId="18" fillId="0" borderId="1" xfId="0" applyNumberFormat="1" applyFont="1" applyBorder="1" applyAlignment="1">
      <alignment horizontal="center" vertical="center" wrapText="1"/>
    </xf>
    <xf numFmtId="9" fontId="5" fillId="0" borderId="10" xfId="13" applyFont="1" applyBorder="1" applyAlignment="1">
      <alignment horizontal="center" vertical="center" wrapText="1"/>
    </xf>
    <xf numFmtId="0" fontId="5" fillId="8" borderId="15" xfId="0" applyFont="1" applyFill="1" applyBorder="1" applyAlignment="1">
      <alignment horizontal="center" vertical="center" wrapText="1"/>
    </xf>
    <xf numFmtId="0" fontId="5" fillId="0" borderId="34" xfId="0" applyFont="1" applyBorder="1" applyAlignment="1">
      <alignment horizontal="center" vertical="center" wrapText="1"/>
    </xf>
    <xf numFmtId="0" fontId="5" fillId="0" borderId="20" xfId="0" quotePrefix="1" applyFont="1" applyBorder="1" applyAlignment="1">
      <alignment horizontal="center" vertical="center" wrapText="1"/>
    </xf>
    <xf numFmtId="164" fontId="5" fillId="8" borderId="6" xfId="0" applyNumberFormat="1"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20" xfId="0" applyFont="1" applyFill="1" applyBorder="1" applyAlignment="1">
      <alignment horizontal="center" vertical="center" wrapText="1"/>
    </xf>
    <xf numFmtId="165" fontId="5" fillId="0" borderId="17" xfId="0" applyNumberFormat="1" applyFont="1" applyBorder="1" applyAlignment="1">
      <alignment horizontal="center" vertical="center" wrapText="1"/>
    </xf>
    <xf numFmtId="9" fontId="5" fillId="0" borderId="10" xfId="13" applyFont="1" applyBorder="1" applyAlignment="1">
      <alignment horizontal="center" vertical="center"/>
    </xf>
    <xf numFmtId="165" fontId="5" fillId="0" borderId="10" xfId="0" applyNumberFormat="1" applyFont="1" applyBorder="1" applyAlignment="1">
      <alignment horizontal="center" vertical="center"/>
    </xf>
    <xf numFmtId="165" fontId="5" fillId="0" borderId="18" xfId="0" applyNumberFormat="1" applyFont="1" applyBorder="1" applyAlignment="1">
      <alignment horizontal="center" vertical="center" wrapText="1"/>
    </xf>
    <xf numFmtId="9" fontId="5" fillId="0" borderId="1" xfId="13" applyFont="1" applyBorder="1" applyAlignment="1">
      <alignment horizontal="center" vertical="center"/>
    </xf>
    <xf numFmtId="165"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xf>
    <xf numFmtId="165" fontId="5" fillId="0" borderId="24" xfId="0" applyNumberFormat="1" applyFont="1" applyBorder="1" applyAlignment="1">
      <alignment horizontal="center" vertical="center" wrapText="1"/>
    </xf>
    <xf numFmtId="9" fontId="5" fillId="0" borderId="6" xfId="13" applyFont="1" applyBorder="1" applyAlignment="1">
      <alignment horizontal="center" vertical="center"/>
    </xf>
    <xf numFmtId="165" fontId="5" fillId="0" borderId="6" xfId="0" applyNumberFormat="1" applyFont="1" applyBorder="1" applyAlignment="1">
      <alignment horizontal="center" vertical="center"/>
    </xf>
    <xf numFmtId="9" fontId="5" fillId="0" borderId="15" xfId="13" applyFont="1" applyBorder="1" applyAlignment="1">
      <alignment horizontal="center" vertical="center"/>
    </xf>
    <xf numFmtId="165" fontId="5" fillId="0" borderId="15" xfId="0" applyNumberFormat="1" applyFont="1" applyBorder="1" applyAlignment="1">
      <alignment horizontal="center" vertical="center" wrapText="1"/>
    </xf>
    <xf numFmtId="165" fontId="5" fillId="0" borderId="15" xfId="0" applyNumberFormat="1" applyFont="1" applyBorder="1" applyAlignment="1">
      <alignment horizontal="center" vertical="center"/>
    </xf>
    <xf numFmtId="0" fontId="0" fillId="0" borderId="0" xfId="0" applyAlignment="1">
      <alignment horizontal="center" vertical="center" wrapText="1"/>
    </xf>
    <xf numFmtId="9" fontId="5" fillId="0" borderId="37" xfId="0" applyNumberFormat="1" applyFont="1" applyBorder="1" applyAlignment="1">
      <alignment horizontal="center" vertical="center" wrapText="1"/>
    </xf>
    <xf numFmtId="9" fontId="19" fillId="0" borderId="4"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6" xfId="13" applyFont="1" applyFill="1" applyBorder="1" applyAlignment="1">
      <alignment horizontal="center" vertical="center"/>
    </xf>
    <xf numFmtId="1" fontId="5" fillId="8" borderId="4" xfId="0" applyNumberFormat="1" applyFont="1" applyFill="1" applyBorder="1" applyAlignment="1">
      <alignment horizontal="center" vertical="center" wrapText="1"/>
    </xf>
    <xf numFmtId="9" fontId="5" fillId="8" borderId="4"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3" fontId="18" fillId="0" borderId="4" xfId="0" applyNumberFormat="1" applyFont="1" applyBorder="1" applyAlignment="1">
      <alignment horizontal="center" vertical="center" wrapText="1"/>
    </xf>
    <xf numFmtId="3" fontId="18" fillId="0" borderId="38"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11" fillId="0" borderId="3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5" fillId="0" borderId="37" xfId="0" applyFont="1" applyBorder="1" applyAlignment="1">
      <alignment horizontal="center" vertical="center" wrapText="1"/>
    </xf>
    <xf numFmtId="3" fontId="18" fillId="0" borderId="2"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8" borderId="4"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0" borderId="38" xfId="0" applyFont="1" applyBorder="1" applyAlignment="1">
      <alignment horizontal="center" vertical="center" wrapText="1"/>
    </xf>
    <xf numFmtId="165" fontId="5" fillId="0" borderId="33" xfId="0" applyNumberFormat="1" applyFont="1" applyBorder="1" applyAlignment="1">
      <alignment horizontal="center" vertical="center" wrapText="1"/>
    </xf>
    <xf numFmtId="9" fontId="5" fillId="0" borderId="28" xfId="13" applyFont="1" applyBorder="1" applyAlignment="1">
      <alignment horizontal="center" vertical="center"/>
    </xf>
    <xf numFmtId="165" fontId="5" fillId="0" borderId="28" xfId="0" applyNumberFormat="1" applyFont="1" applyBorder="1" applyAlignment="1">
      <alignment horizontal="center" vertical="center" wrapText="1"/>
    </xf>
    <xf numFmtId="165" fontId="5" fillId="0" borderId="28" xfId="0" applyNumberFormat="1" applyFont="1" applyBorder="1" applyAlignment="1">
      <alignment horizontal="center" vertical="center"/>
    </xf>
    <xf numFmtId="165" fontId="5" fillId="0" borderId="19" xfId="0" applyNumberFormat="1" applyFont="1" applyBorder="1" applyAlignment="1">
      <alignment horizontal="center" vertical="center" wrapText="1"/>
    </xf>
    <xf numFmtId="9" fontId="5" fillId="0" borderId="10" xfId="13" applyFont="1" applyFill="1" applyBorder="1" applyAlignment="1">
      <alignment horizontal="center" vertical="center"/>
    </xf>
    <xf numFmtId="9" fontId="5" fillId="0" borderId="29" xfId="13" applyFont="1" applyBorder="1" applyAlignment="1">
      <alignment horizontal="center" vertical="center"/>
    </xf>
    <xf numFmtId="165" fontId="5" fillId="0" borderId="29" xfId="0" applyNumberFormat="1" applyFont="1" applyBorder="1" applyAlignment="1">
      <alignment horizontal="center" vertical="center" wrapText="1"/>
    </xf>
    <xf numFmtId="165" fontId="5" fillId="0" borderId="29" xfId="0" applyNumberFormat="1" applyFont="1" applyBorder="1" applyAlignment="1">
      <alignment horizontal="center" vertical="center"/>
    </xf>
    <xf numFmtId="9" fontId="5" fillId="0" borderId="8" xfId="13" applyFont="1" applyBorder="1" applyAlignment="1">
      <alignment horizontal="center" vertical="center"/>
    </xf>
    <xf numFmtId="165" fontId="5" fillId="0" borderId="8" xfId="0" applyNumberFormat="1" applyFont="1" applyBorder="1" applyAlignment="1">
      <alignment horizontal="center" vertical="center"/>
    </xf>
    <xf numFmtId="0" fontId="5" fillId="0" borderId="37" xfId="0" quotePrefix="1" applyFont="1" applyBorder="1" applyAlignment="1">
      <alignment horizontal="center" vertical="center" wrapText="1"/>
    </xf>
    <xf numFmtId="0" fontId="5" fillId="0" borderId="4" xfId="0" quotePrefix="1" applyFont="1" applyBorder="1" applyAlignment="1">
      <alignment horizontal="center" vertical="center" wrapText="1"/>
    </xf>
    <xf numFmtId="164" fontId="5" fillId="8" borderId="2" xfId="0" applyNumberFormat="1" applyFont="1" applyFill="1" applyBorder="1" applyAlignment="1">
      <alignment horizontal="center" vertical="center" wrapText="1"/>
    </xf>
    <xf numFmtId="0" fontId="5" fillId="8" borderId="37" xfId="0" applyFont="1" applyFill="1" applyBorder="1" applyAlignment="1">
      <alignment horizontal="center" vertical="center" wrapText="1"/>
    </xf>
    <xf numFmtId="165" fontId="5" fillId="0" borderId="14" xfId="0" applyNumberFormat="1" applyFont="1" applyBorder="1" applyAlignment="1">
      <alignment horizontal="center" vertical="center" wrapText="1"/>
    </xf>
    <xf numFmtId="0" fontId="5" fillId="0" borderId="2" xfId="0" applyFont="1" applyBorder="1" applyAlignment="1">
      <alignment horizontal="center" vertical="center"/>
    </xf>
    <xf numFmtId="9" fontId="5" fillId="0" borderId="4" xfId="13" applyFont="1" applyFill="1" applyBorder="1" applyAlignment="1">
      <alignment horizontal="center" vertical="center" wrapText="1"/>
    </xf>
    <xf numFmtId="9" fontId="5" fillId="0" borderId="38" xfId="13" applyFont="1" applyFill="1" applyBorder="1" applyAlignment="1">
      <alignment horizontal="center" vertical="center" wrapText="1"/>
    </xf>
    <xf numFmtId="0" fontId="5" fillId="0" borderId="4" xfId="13" applyNumberFormat="1" applyFont="1" applyFill="1" applyBorder="1" applyAlignment="1">
      <alignment horizontal="center" vertical="center" wrapText="1"/>
    </xf>
    <xf numFmtId="165" fontId="5" fillId="0" borderId="12" xfId="0" applyNumberFormat="1" applyFont="1" applyBorder="1" applyAlignment="1">
      <alignment horizontal="center" vertical="center" wrapText="1"/>
    </xf>
    <xf numFmtId="9" fontId="5" fillId="0" borderId="7" xfId="13" applyFont="1" applyBorder="1" applyAlignment="1">
      <alignment horizontal="center" vertical="center"/>
    </xf>
    <xf numFmtId="165" fontId="5" fillId="0" borderId="7" xfId="0" applyNumberFormat="1" applyFont="1" applyBorder="1" applyAlignment="1">
      <alignment horizontal="center" vertical="center"/>
    </xf>
    <xf numFmtId="9" fontId="5" fillId="0" borderId="38" xfId="0" applyNumberFormat="1" applyFont="1" applyBorder="1" applyAlignment="1">
      <alignment horizontal="center" vertical="center" wrapText="1"/>
    </xf>
    <xf numFmtId="0" fontId="5" fillId="8" borderId="38" xfId="0" applyFont="1" applyFill="1" applyBorder="1" applyAlignment="1">
      <alignment horizontal="center" vertical="center" wrapText="1"/>
    </xf>
    <xf numFmtId="0" fontId="5" fillId="0" borderId="39" xfId="0" applyFont="1" applyBorder="1" applyAlignment="1">
      <alignment horizontal="center" vertical="center" wrapText="1"/>
    </xf>
    <xf numFmtId="165" fontId="5" fillId="0" borderId="13" xfId="0" applyNumberFormat="1" applyFont="1" applyBorder="1" applyAlignment="1">
      <alignment horizontal="center" vertical="center"/>
    </xf>
    <xf numFmtId="165" fontId="5" fillId="0" borderId="16" xfId="0" applyNumberFormat="1" applyFont="1" applyBorder="1"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5" fillId="0" borderId="0" xfId="0" applyFont="1" applyAlignment="1">
      <alignment horizontal="left" vertical="center"/>
    </xf>
    <xf numFmtId="0" fontId="25" fillId="2" borderId="1" xfId="0" applyFont="1" applyFill="1" applyBorder="1" applyAlignment="1">
      <alignment horizontal="left" vertical="center"/>
    </xf>
    <xf numFmtId="0" fontId="26" fillId="6" borderId="1" xfId="0" applyFont="1" applyFill="1" applyBorder="1" applyAlignment="1">
      <alignment vertical="center"/>
    </xf>
    <xf numFmtId="0" fontId="23" fillId="0" borderId="1" xfId="0" applyFont="1" applyBorder="1" applyAlignment="1">
      <alignment horizontal="center" vertical="center" wrapText="1"/>
    </xf>
    <xf numFmtId="0" fontId="23" fillId="0" borderId="4" xfId="0" applyFont="1" applyBorder="1" applyAlignment="1">
      <alignment horizontal="center" vertical="center" wrapText="1"/>
    </xf>
    <xf numFmtId="0" fontId="26" fillId="6" borderId="4" xfId="0" applyFont="1" applyFill="1" applyBorder="1" applyAlignment="1">
      <alignment vertical="center"/>
    </xf>
    <xf numFmtId="165" fontId="5" fillId="0" borderId="18" xfId="0" applyNumberFormat="1" applyFont="1" applyBorder="1" applyAlignment="1">
      <alignment horizontal="left" vertical="center"/>
    </xf>
    <xf numFmtId="165" fontId="5" fillId="0" borderId="1" xfId="0" applyNumberFormat="1" applyFont="1" applyBorder="1" applyAlignment="1">
      <alignment horizontal="left" vertical="center"/>
    </xf>
    <xf numFmtId="165" fontId="5" fillId="0" borderId="18" xfId="0" applyNumberFormat="1" applyFont="1" applyBorder="1" applyAlignment="1">
      <alignment horizontal="center" vertical="center"/>
    </xf>
    <xf numFmtId="165" fontId="23" fillId="3" borderId="19" xfId="0" applyNumberFormat="1" applyFont="1" applyFill="1" applyBorder="1" applyAlignment="1">
      <alignment horizontal="center" vertical="center"/>
    </xf>
    <xf numFmtId="165" fontId="23" fillId="3" borderId="15" xfId="0" applyNumberFormat="1" applyFont="1" applyFill="1" applyBorder="1" applyAlignment="1">
      <alignment horizontal="center" vertical="center"/>
    </xf>
    <xf numFmtId="165" fontId="23" fillId="3" borderId="16" xfId="0" applyNumberFormat="1" applyFont="1" applyFill="1" applyBorder="1" applyAlignment="1">
      <alignment horizontal="center" vertical="center"/>
    </xf>
    <xf numFmtId="0" fontId="5" fillId="0" borderId="18" xfId="0" applyFont="1" applyBorder="1" applyAlignment="1">
      <alignment vertical="center"/>
    </xf>
    <xf numFmtId="0" fontId="23" fillId="3" borderId="19" xfId="0" applyFont="1" applyFill="1" applyBorder="1" applyAlignment="1">
      <alignment horizontal="center" vertical="center"/>
    </xf>
    <xf numFmtId="0" fontId="23" fillId="14" borderId="18"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14" borderId="13" xfId="0" applyFont="1" applyFill="1" applyBorder="1" applyAlignment="1">
      <alignment horizontal="center" vertical="center" wrapText="1"/>
    </xf>
    <xf numFmtId="0" fontId="25" fillId="2" borderId="4" xfId="0" applyFont="1" applyFill="1" applyBorder="1" applyAlignment="1">
      <alignment horizontal="left" vertical="center"/>
    </xf>
    <xf numFmtId="0" fontId="5" fillId="0" borderId="1" xfId="0" applyFont="1" applyBorder="1" applyAlignment="1">
      <alignment horizontal="center" vertical="center"/>
    </xf>
    <xf numFmtId="0" fontId="0" fillId="6" borderId="3" xfId="0" applyFill="1" applyBorder="1" applyAlignment="1">
      <alignment vertical="center"/>
    </xf>
    <xf numFmtId="0" fontId="0" fillId="6" borderId="42" xfId="0" applyFill="1" applyBorder="1" applyAlignment="1">
      <alignment vertical="center"/>
    </xf>
    <xf numFmtId="0" fontId="0" fillId="6" borderId="42" xfId="0" applyFill="1" applyBorder="1" applyAlignment="1">
      <alignment horizontal="left" vertical="center"/>
    </xf>
    <xf numFmtId="165" fontId="21" fillId="0" borderId="0" xfId="0" applyNumberFormat="1" applyFont="1"/>
    <xf numFmtId="2" fontId="0" fillId="0" borderId="0" xfId="13" applyNumberFormat="1" applyFont="1"/>
    <xf numFmtId="165" fontId="0" fillId="0" borderId="0" xfId="0" applyNumberFormat="1"/>
    <xf numFmtId="165" fontId="5" fillId="0" borderId="31" xfId="0" applyNumberFormat="1" applyFont="1" applyBorder="1" applyAlignment="1">
      <alignment horizontal="center" vertical="center" wrapText="1"/>
    </xf>
    <xf numFmtId="0" fontId="6" fillId="13" borderId="15" xfId="0" applyFont="1" applyFill="1" applyBorder="1" applyAlignment="1">
      <alignment horizontal="center" vertical="center" wrapText="1"/>
    </xf>
    <xf numFmtId="165" fontId="5" fillId="0" borderId="4" xfId="0" applyNumberFormat="1" applyFont="1" applyBorder="1" applyAlignment="1">
      <alignment horizontal="center" vertical="center"/>
    </xf>
    <xf numFmtId="165" fontId="5" fillId="0" borderId="2" xfId="0" applyNumberFormat="1" applyFont="1" applyBorder="1" applyAlignment="1">
      <alignment horizontal="center" vertical="center"/>
    </xf>
    <xf numFmtId="165" fontId="5" fillId="0" borderId="39" xfId="0" applyNumberFormat="1" applyFont="1" applyBorder="1" applyAlignment="1">
      <alignment horizontal="center" vertical="center"/>
    </xf>
    <xf numFmtId="165" fontId="5" fillId="0" borderId="37" xfId="0" applyNumberFormat="1" applyFont="1" applyBorder="1" applyAlignment="1">
      <alignment horizontal="center" vertical="center"/>
    </xf>
    <xf numFmtId="165" fontId="5" fillId="0" borderId="46" xfId="0" applyNumberFormat="1" applyFont="1" applyBorder="1" applyAlignment="1">
      <alignment horizontal="center" vertical="center"/>
    </xf>
    <xf numFmtId="0" fontId="5" fillId="0" borderId="47"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9" xfId="0" applyFont="1" applyBorder="1" applyAlignment="1">
      <alignment horizontal="center" vertical="center" wrapText="1"/>
    </xf>
    <xf numFmtId="165" fontId="5" fillId="0" borderId="38" xfId="0" applyNumberFormat="1" applyFont="1" applyBorder="1" applyAlignment="1">
      <alignment horizontal="center" vertical="center"/>
    </xf>
    <xf numFmtId="165" fontId="5" fillId="0" borderId="41" xfId="0" applyNumberFormat="1" applyFont="1" applyBorder="1" applyAlignment="1">
      <alignment horizontal="center" vertical="center"/>
    </xf>
    <xf numFmtId="165" fontId="5" fillId="0" borderId="54" xfId="0" applyNumberFormat="1" applyFont="1" applyBorder="1" applyAlignment="1">
      <alignment horizontal="center" vertical="center"/>
    </xf>
    <xf numFmtId="0" fontId="5" fillId="0" borderId="55" xfId="0" applyFont="1" applyBorder="1" applyAlignment="1">
      <alignment horizontal="center" vertical="center" wrapText="1"/>
    </xf>
    <xf numFmtId="0" fontId="5" fillId="0" borderId="43" xfId="0" applyFont="1" applyBorder="1" applyAlignment="1">
      <alignment horizontal="center" vertical="center" wrapText="1"/>
    </xf>
    <xf numFmtId="0" fontId="0" fillId="6" borderId="3" xfId="0" applyFill="1" applyBorder="1" applyAlignment="1">
      <alignment horizontal="center" vertical="center"/>
    </xf>
    <xf numFmtId="0" fontId="21" fillId="0" borderId="0" xfId="0" applyFont="1" applyAlignment="1">
      <alignment horizontal="center" vertical="center" wrapText="1"/>
    </xf>
    <xf numFmtId="165" fontId="5" fillId="8" borderId="18" xfId="0" applyNumberFormat="1" applyFont="1" applyFill="1" applyBorder="1" applyAlignment="1">
      <alignment horizontal="center" vertical="center" wrapText="1"/>
    </xf>
    <xf numFmtId="165" fontId="5" fillId="0" borderId="5" xfId="0" applyNumberFormat="1" applyFont="1" applyBorder="1" applyAlignment="1">
      <alignment horizontal="center" vertical="center"/>
    </xf>
    <xf numFmtId="165" fontId="5" fillId="0" borderId="5" xfId="0" applyNumberFormat="1" applyFont="1" applyBorder="1" applyAlignment="1">
      <alignment horizontal="left" vertical="center"/>
    </xf>
    <xf numFmtId="0" fontId="23" fillId="14" borderId="4" xfId="0" applyFont="1" applyFill="1" applyBorder="1" applyAlignment="1">
      <alignment horizontal="center" vertical="center" wrapText="1"/>
    </xf>
    <xf numFmtId="165" fontId="30" fillId="6" borderId="21" xfId="0" applyNumberFormat="1" applyFont="1" applyFill="1" applyBorder="1" applyAlignment="1">
      <alignment horizontal="center" vertical="center"/>
    </xf>
    <xf numFmtId="165" fontId="30" fillId="6" borderId="3" xfId="0" applyNumberFormat="1" applyFont="1" applyFill="1" applyBorder="1" applyAlignment="1">
      <alignment horizontal="center" vertical="center"/>
    </xf>
    <xf numFmtId="0" fontId="23" fillId="13" borderId="11" xfId="0" applyFont="1" applyFill="1" applyBorder="1" applyAlignment="1">
      <alignment horizontal="center" vertical="center" wrapText="1"/>
    </xf>
    <xf numFmtId="0" fontId="25" fillId="11" borderId="2" xfId="0" applyFont="1" applyFill="1" applyBorder="1" applyAlignment="1">
      <alignment horizontal="center" vertical="center"/>
    </xf>
    <xf numFmtId="0" fontId="0" fillId="6" borderId="42" xfId="0" applyFill="1" applyBorder="1" applyAlignment="1">
      <alignment horizontal="center" vertical="center"/>
    </xf>
    <xf numFmtId="165" fontId="5" fillId="0" borderId="33" xfId="0" applyNumberFormat="1" applyFont="1" applyBorder="1" applyAlignment="1">
      <alignment horizontal="center" vertical="center"/>
    </xf>
    <xf numFmtId="165" fontId="5" fillId="0" borderId="26" xfId="0" applyNumberFormat="1" applyFont="1" applyBorder="1" applyAlignment="1">
      <alignment horizontal="center" vertical="center"/>
    </xf>
    <xf numFmtId="165" fontId="5" fillId="0" borderId="19" xfId="0" applyNumberFormat="1" applyFont="1" applyBorder="1" applyAlignment="1">
      <alignment horizontal="center" vertical="center"/>
    </xf>
    <xf numFmtId="165" fontId="5" fillId="0" borderId="57" xfId="0" applyNumberFormat="1" applyFont="1" applyBorder="1" applyAlignment="1">
      <alignment horizontal="center" vertical="center"/>
    </xf>
    <xf numFmtId="165" fontId="5" fillId="0" borderId="32" xfId="0" applyNumberFormat="1" applyFont="1" applyBorder="1" applyAlignment="1">
      <alignment horizontal="center" vertical="center" wrapText="1"/>
    </xf>
    <xf numFmtId="165" fontId="5" fillId="0" borderId="9" xfId="0" applyNumberFormat="1" applyFont="1" applyBorder="1" applyAlignment="1">
      <alignment horizontal="center" vertical="center" wrapText="1"/>
    </xf>
    <xf numFmtId="165" fontId="5" fillId="0" borderId="10" xfId="0" applyNumberFormat="1" applyFont="1" applyBorder="1" applyAlignment="1">
      <alignment horizontal="center" vertical="center" wrapText="1"/>
    </xf>
    <xf numFmtId="165" fontId="5" fillId="0" borderId="6" xfId="0" applyNumberFormat="1"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165" fontId="5" fillId="0" borderId="11" xfId="0" applyNumberFormat="1" applyFont="1" applyBorder="1" applyAlignment="1">
      <alignment horizontal="center" vertical="center"/>
    </xf>
    <xf numFmtId="0" fontId="5" fillId="0" borderId="42" xfId="0" applyFont="1" applyBorder="1" applyAlignment="1">
      <alignment horizontal="center" vertical="center" wrapText="1"/>
    </xf>
    <xf numFmtId="165" fontId="5" fillId="0" borderId="40" xfId="0" applyNumberFormat="1" applyFont="1" applyBorder="1" applyAlignment="1">
      <alignment horizontal="center" vertical="center"/>
    </xf>
    <xf numFmtId="0" fontId="5" fillId="8" borderId="0" xfId="0" applyFont="1" applyFill="1"/>
    <xf numFmtId="9" fontId="5" fillId="8" borderId="10" xfId="13" applyFont="1" applyFill="1" applyBorder="1" applyAlignment="1">
      <alignment horizontal="center" vertical="center" wrapText="1"/>
    </xf>
    <xf numFmtId="9" fontId="5" fillId="8" borderId="37" xfId="13" applyFont="1" applyFill="1" applyBorder="1" applyAlignment="1">
      <alignment horizontal="center" vertical="center" wrapText="1"/>
    </xf>
    <xf numFmtId="2" fontId="31" fillId="0" borderId="0" xfId="0" applyNumberFormat="1" applyFont="1" applyAlignment="1">
      <alignment horizontal="center"/>
    </xf>
    <xf numFmtId="165" fontId="5" fillId="8" borderId="1" xfId="0" applyNumberFormat="1" applyFont="1" applyFill="1" applyBorder="1" applyAlignment="1">
      <alignment horizontal="center" vertical="center"/>
    </xf>
    <xf numFmtId="10" fontId="5" fillId="0" borderId="1" xfId="0" applyNumberFormat="1" applyFont="1" applyBorder="1" applyAlignment="1">
      <alignment horizontal="center" vertical="center" wrapText="1"/>
    </xf>
    <xf numFmtId="10" fontId="5" fillId="0" borderId="13" xfId="0" applyNumberFormat="1" applyFont="1" applyBorder="1" applyAlignment="1">
      <alignment horizontal="center" vertical="center" wrapText="1"/>
    </xf>
    <xf numFmtId="0" fontId="5" fillId="0" borderId="60" xfId="0" applyFont="1" applyBorder="1" applyAlignment="1">
      <alignment horizontal="center" vertical="center" wrapText="1"/>
    </xf>
    <xf numFmtId="9" fontId="5" fillId="0" borderId="60" xfId="0" applyNumberFormat="1" applyFont="1" applyBorder="1" applyAlignment="1">
      <alignment horizontal="center" vertical="center" wrapText="1"/>
    </xf>
    <xf numFmtId="9" fontId="5" fillId="0" borderId="61" xfId="0" applyNumberFormat="1" applyFont="1" applyBorder="1" applyAlignment="1">
      <alignment horizontal="center" vertical="center" wrapText="1"/>
    </xf>
    <xf numFmtId="0" fontId="11" fillId="8"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8" borderId="1" xfId="0" applyFont="1" applyFill="1" applyBorder="1" applyAlignment="1">
      <alignment horizontal="justify" vertical="center" wrapText="1"/>
    </xf>
    <xf numFmtId="0" fontId="11" fillId="0" borderId="1" xfId="0" applyFont="1" applyBorder="1" applyAlignment="1">
      <alignment horizontal="justify" vertical="center" wrapText="1"/>
    </xf>
    <xf numFmtId="0" fontId="5" fillId="0" borderId="6" xfId="0" applyFont="1" applyBorder="1" applyAlignment="1">
      <alignment horizontal="justify" vertical="center" wrapText="1"/>
    </xf>
    <xf numFmtId="0" fontId="5" fillId="8" borderId="10" xfId="0" applyFont="1" applyFill="1" applyBorder="1" applyAlignment="1">
      <alignment horizontal="justify" vertical="center" wrapText="1"/>
    </xf>
    <xf numFmtId="0" fontId="5" fillId="8" borderId="6" xfId="0" applyFont="1" applyFill="1" applyBorder="1" applyAlignment="1">
      <alignment horizontal="justify" vertical="center" wrapText="1"/>
    </xf>
    <xf numFmtId="0" fontId="11" fillId="0" borderId="10" xfId="0" applyFont="1" applyBorder="1" applyAlignment="1">
      <alignment horizontal="justify" vertical="center" wrapText="1"/>
    </xf>
    <xf numFmtId="0" fontId="11" fillId="8" borderId="10" xfId="0" applyFont="1" applyFill="1" applyBorder="1" applyAlignment="1">
      <alignment horizontal="justify" vertical="center" wrapText="1"/>
    </xf>
    <xf numFmtId="0" fontId="19" fillId="0" borderId="6" xfId="0" applyFont="1" applyBorder="1" applyAlignment="1">
      <alignment horizontal="justify" vertical="center" wrapText="1"/>
    </xf>
    <xf numFmtId="0" fontId="11" fillId="8" borderId="6" xfId="0" applyFont="1" applyFill="1" applyBorder="1" applyAlignment="1">
      <alignment horizontal="justify" vertical="center" wrapText="1"/>
    </xf>
    <xf numFmtId="0" fontId="19" fillId="0" borderId="1" xfId="0" applyFont="1" applyBorder="1" applyAlignment="1">
      <alignment horizontal="justify" vertical="center" wrapText="1"/>
    </xf>
    <xf numFmtId="0" fontId="18" fillId="0" borderId="6" xfId="0" applyFont="1" applyBorder="1" applyAlignment="1">
      <alignment horizontal="justify" vertical="center" wrapText="1"/>
    </xf>
    <xf numFmtId="0" fontId="18" fillId="8" borderId="1" xfId="0" applyFont="1" applyFill="1" applyBorder="1" applyAlignment="1">
      <alignment horizontal="justify" vertical="center" wrapText="1"/>
    </xf>
    <xf numFmtId="0" fontId="18" fillId="8" borderId="15" xfId="0" applyFont="1" applyFill="1" applyBorder="1" applyAlignment="1">
      <alignment horizontal="justify" vertical="center" wrapText="1"/>
    </xf>
    <xf numFmtId="0" fontId="5" fillId="0" borderId="10"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29" xfId="0" applyFont="1" applyBorder="1" applyAlignment="1">
      <alignment horizontal="justify" vertical="center" wrapText="1"/>
    </xf>
    <xf numFmtId="0" fontId="11" fillId="0" borderId="6"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6" xfId="0" applyFont="1" applyBorder="1" applyAlignment="1">
      <alignment horizontal="justify" vertical="center" wrapText="1"/>
    </xf>
    <xf numFmtId="0" fontId="11" fillId="9" borderId="1" xfId="0" applyFont="1" applyFill="1" applyBorder="1" applyAlignment="1">
      <alignment horizontal="justify" vertical="center" wrapText="1"/>
    </xf>
    <xf numFmtId="0" fontId="5" fillId="0" borderId="28" xfId="0" applyFont="1" applyBorder="1" applyAlignment="1">
      <alignment horizontal="justify" vertical="center" wrapText="1"/>
    </xf>
    <xf numFmtId="0" fontId="5" fillId="8" borderId="15" xfId="0" applyFont="1" applyFill="1" applyBorder="1" applyAlignment="1">
      <alignment horizontal="justify" vertical="center" wrapText="1"/>
    </xf>
    <xf numFmtId="0" fontId="24" fillId="3" borderId="25" xfId="0" applyFont="1" applyFill="1" applyBorder="1" applyAlignment="1">
      <alignment horizontal="center" vertical="center"/>
    </xf>
    <xf numFmtId="0" fontId="24" fillId="3" borderId="26" xfId="0" applyFont="1" applyFill="1" applyBorder="1" applyAlignment="1">
      <alignment horizontal="center" vertical="center"/>
    </xf>
    <xf numFmtId="165" fontId="5" fillId="2" borderId="18" xfId="0" applyNumberFormat="1" applyFont="1" applyFill="1" applyBorder="1" applyAlignment="1">
      <alignment horizontal="center" vertical="center"/>
    </xf>
    <xf numFmtId="165" fontId="5" fillId="2" borderId="1" xfId="0" applyNumberFormat="1" applyFont="1" applyFill="1" applyBorder="1" applyAlignment="1">
      <alignment horizontal="center" vertical="center"/>
    </xf>
    <xf numFmtId="165" fontId="5" fillId="2" borderId="4" xfId="0" applyNumberFormat="1" applyFont="1" applyFill="1" applyBorder="1" applyAlignment="1">
      <alignment horizontal="center" vertical="center"/>
    </xf>
    <xf numFmtId="165" fontId="5" fillId="2" borderId="13" xfId="0" applyNumberFormat="1" applyFont="1" applyFill="1" applyBorder="1" applyAlignment="1">
      <alignment horizontal="center" vertical="center"/>
    </xf>
    <xf numFmtId="0" fontId="28" fillId="15" borderId="17" xfId="0" applyFont="1" applyFill="1" applyBorder="1" applyAlignment="1">
      <alignment horizontal="center" vertical="center"/>
    </xf>
    <xf numFmtId="0" fontId="28" fillId="15" borderId="10" xfId="0" applyFont="1" applyFill="1" applyBorder="1" applyAlignment="1">
      <alignment horizontal="center" vertical="center"/>
    </xf>
    <xf numFmtId="0" fontId="28" fillId="15" borderId="37" xfId="0" applyFont="1" applyFill="1" applyBorder="1" applyAlignment="1">
      <alignment horizontal="center" vertical="center"/>
    </xf>
    <xf numFmtId="0" fontId="28" fillId="15" borderId="11" xfId="0" applyFont="1" applyFill="1" applyBorder="1"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13" xfId="0" applyFill="1" applyBorder="1" applyAlignment="1">
      <alignment horizontal="center" vertical="center"/>
    </xf>
    <xf numFmtId="0" fontId="22" fillId="2" borderId="18" xfId="0" applyFont="1" applyFill="1" applyBorder="1" applyAlignment="1">
      <alignment horizontal="left" vertical="center"/>
    </xf>
    <xf numFmtId="0" fontId="22" fillId="2" borderId="13" xfId="0" applyFont="1" applyFill="1" applyBorder="1" applyAlignment="1">
      <alignment horizontal="left" vertical="center"/>
    </xf>
    <xf numFmtId="0" fontId="23" fillId="3" borderId="4" xfId="0" applyFont="1" applyFill="1" applyBorder="1" applyAlignment="1">
      <alignment horizontal="left" vertical="center"/>
    </xf>
    <xf numFmtId="0" fontId="23" fillId="3" borderId="3" xfId="0" applyFont="1" applyFill="1" applyBorder="1" applyAlignment="1">
      <alignment horizontal="left" vertical="center"/>
    </xf>
    <xf numFmtId="0" fontId="23" fillId="3" borderId="5" xfId="0" applyFont="1" applyFill="1" applyBorder="1" applyAlignment="1">
      <alignment horizontal="left" vertical="center"/>
    </xf>
    <xf numFmtId="165" fontId="5" fillId="0" borderId="20" xfId="0" applyNumberFormat="1" applyFont="1" applyBorder="1" applyAlignment="1">
      <alignment horizontal="center" vertical="center"/>
    </xf>
    <xf numFmtId="0" fontId="5" fillId="0" borderId="35" xfId="0" applyFont="1" applyBorder="1" applyAlignment="1">
      <alignment horizontal="center" vertical="center"/>
    </xf>
    <xf numFmtId="0" fontId="5" fillId="0" borderId="40" xfId="0" applyFont="1" applyBorder="1" applyAlignment="1">
      <alignment horizontal="center" vertical="center"/>
    </xf>
    <xf numFmtId="0" fontId="5" fillId="0" borderId="36" xfId="0" applyFont="1" applyBorder="1" applyAlignment="1">
      <alignment horizontal="center" vertical="center"/>
    </xf>
    <xf numFmtId="165" fontId="5" fillId="3" borderId="21" xfId="0" applyNumberFormat="1" applyFont="1" applyFill="1" applyBorder="1" applyAlignment="1">
      <alignment horizontal="center" vertical="center"/>
    </xf>
    <xf numFmtId="165" fontId="5" fillId="3" borderId="3" xfId="0" applyNumberFormat="1" applyFont="1" applyFill="1" applyBorder="1" applyAlignment="1">
      <alignment horizontal="center" vertical="center"/>
    </xf>
    <xf numFmtId="165" fontId="5" fillId="3" borderId="5" xfId="0" applyNumberFormat="1" applyFont="1" applyFill="1" applyBorder="1" applyAlignment="1">
      <alignment horizontal="center" vertical="center"/>
    </xf>
    <xf numFmtId="0" fontId="23" fillId="3" borderId="4"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27" fillId="3" borderId="4" xfId="0" applyFont="1" applyFill="1" applyBorder="1" applyAlignment="1">
      <alignment horizontal="left" vertical="center" wrapText="1"/>
    </xf>
    <xf numFmtId="0" fontId="27" fillId="3" borderId="3" xfId="0" applyFont="1" applyFill="1" applyBorder="1" applyAlignment="1">
      <alignment horizontal="left" vertical="center" wrapText="1"/>
    </xf>
    <xf numFmtId="0" fontId="27" fillId="3" borderId="5" xfId="0" applyFont="1" applyFill="1" applyBorder="1" applyAlignment="1">
      <alignment horizontal="left" vertical="center" wrapText="1"/>
    </xf>
    <xf numFmtId="0" fontId="0" fillId="2" borderId="21" xfId="0" applyFill="1" applyBorder="1" applyAlignment="1">
      <alignment horizontal="center" vertical="center"/>
    </xf>
    <xf numFmtId="0" fontId="0" fillId="2" borderId="3" xfId="0" applyFill="1" applyBorder="1" applyAlignment="1">
      <alignment horizontal="center" vertical="center"/>
    </xf>
    <xf numFmtId="0" fontId="0" fillId="2" borderId="42" xfId="0" applyFill="1" applyBorder="1" applyAlignment="1">
      <alignment horizontal="center" vertical="center"/>
    </xf>
    <xf numFmtId="165" fontId="5" fillId="0" borderId="6" xfId="0" applyNumberFormat="1" applyFont="1" applyBorder="1" applyAlignment="1">
      <alignment horizontal="center" vertical="center"/>
    </xf>
    <xf numFmtId="165" fontId="5" fillId="0" borderId="7" xfId="0" applyNumberFormat="1" applyFont="1" applyBorder="1" applyAlignment="1">
      <alignment horizontal="center" vertical="center"/>
    </xf>
    <xf numFmtId="165" fontId="5" fillId="0" borderId="28" xfId="0" applyNumberFormat="1" applyFont="1" applyBorder="1" applyAlignment="1">
      <alignment horizontal="center" vertical="center"/>
    </xf>
    <xf numFmtId="0" fontId="5" fillId="3" borderId="1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165" fontId="5" fillId="0" borderId="1" xfId="0" applyNumberFormat="1" applyFont="1" applyBorder="1" applyAlignment="1">
      <alignment horizontal="center" vertical="center"/>
    </xf>
    <xf numFmtId="165" fontId="5" fillId="0" borderId="4" xfId="0" applyNumberFormat="1" applyFont="1" applyBorder="1" applyAlignment="1">
      <alignment horizontal="center" vertical="center"/>
    </xf>
    <xf numFmtId="165" fontId="5" fillId="0" borderId="2" xfId="0" applyNumberFormat="1" applyFont="1" applyBorder="1" applyAlignment="1">
      <alignment horizontal="center" vertical="center"/>
    </xf>
    <xf numFmtId="165" fontId="5" fillId="0" borderId="41" xfId="0" applyNumberFormat="1" applyFont="1" applyBorder="1" applyAlignment="1">
      <alignment horizontal="center" vertical="center"/>
    </xf>
    <xf numFmtId="0" fontId="26" fillId="6" borderId="4" xfId="0" applyFont="1" applyFill="1" applyBorder="1" applyAlignment="1">
      <alignment horizontal="left" vertical="center"/>
    </xf>
    <xf numFmtId="0" fontId="26" fillId="6" borderId="3" xfId="0" applyFont="1" applyFill="1" applyBorder="1" applyAlignment="1">
      <alignment horizontal="left" vertical="center"/>
    </xf>
    <xf numFmtId="165" fontId="5" fillId="0" borderId="39" xfId="0" applyNumberFormat="1" applyFont="1" applyBorder="1" applyAlignment="1">
      <alignment horizontal="center" vertical="center"/>
    </xf>
    <xf numFmtId="165" fontId="1" fillId="0" borderId="2" xfId="0" applyNumberFormat="1" applyFont="1" applyBorder="1" applyAlignment="1">
      <alignment horizontal="center" vertical="center"/>
    </xf>
    <xf numFmtId="165" fontId="1" fillId="0" borderId="41" xfId="0" applyNumberFormat="1" applyFont="1" applyBorder="1" applyAlignment="1">
      <alignment horizontal="center" vertical="center"/>
    </xf>
    <xf numFmtId="165" fontId="1" fillId="0" borderId="39" xfId="0" applyNumberFormat="1" applyFont="1" applyBorder="1" applyAlignment="1">
      <alignment horizontal="center" vertical="center"/>
    </xf>
    <xf numFmtId="0" fontId="25" fillId="2" borderId="1" xfId="0" applyFont="1" applyFill="1" applyBorder="1" applyAlignment="1">
      <alignment horizontal="left" vertical="center"/>
    </xf>
    <xf numFmtId="0" fontId="25" fillId="2" borderId="4" xfId="0" applyFont="1" applyFill="1" applyBorder="1" applyAlignment="1">
      <alignment horizontal="left" vertical="center"/>
    </xf>
    <xf numFmtId="0" fontId="26" fillId="6" borderId="1" xfId="0" applyFont="1" applyFill="1" applyBorder="1" applyAlignment="1">
      <alignment horizontal="left" vertical="center"/>
    </xf>
    <xf numFmtId="165" fontId="5" fillId="3" borderId="18" xfId="0" applyNumberFormat="1" applyFont="1" applyFill="1" applyBorder="1" applyAlignment="1">
      <alignment horizontal="center" vertical="center"/>
    </xf>
    <xf numFmtId="165" fontId="5" fillId="3" borderId="1" xfId="0" applyNumberFormat="1" applyFont="1" applyFill="1" applyBorder="1" applyAlignment="1">
      <alignment horizontal="center" vertical="center"/>
    </xf>
    <xf numFmtId="0" fontId="0" fillId="0" borderId="1" xfId="0" applyBorder="1" applyAlignment="1">
      <alignment horizontal="center" vertical="center"/>
    </xf>
    <xf numFmtId="165" fontId="1" fillId="0" borderId="4" xfId="0" applyNumberFormat="1" applyFont="1" applyBorder="1" applyAlignment="1">
      <alignment horizontal="center" vertical="center"/>
    </xf>
    <xf numFmtId="0" fontId="24" fillId="3" borderId="4"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28" xfId="0" applyFont="1" applyFill="1" applyBorder="1" applyAlignment="1">
      <alignment horizontal="center" vertical="center"/>
    </xf>
    <xf numFmtId="165" fontId="5" fillId="0" borderId="15"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0" fontId="0" fillId="2" borderId="5" xfId="0" applyFill="1" applyBorder="1" applyAlignment="1">
      <alignment horizontal="center" vertical="center"/>
    </xf>
    <xf numFmtId="0" fontId="28" fillId="15" borderId="56"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6" fillId="14" borderId="11"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4" fillId="11" borderId="17" xfId="0" applyFont="1" applyFill="1" applyBorder="1" applyAlignment="1">
      <alignment horizontal="center" vertical="center" wrapText="1"/>
    </xf>
    <xf numFmtId="0" fontId="4" fillId="11" borderId="19"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2" borderId="10" xfId="0" applyFont="1" applyFill="1" applyBorder="1" applyAlignment="1">
      <alignment horizontal="center" vertical="center" wrapText="1"/>
    </xf>
    <xf numFmtId="0" fontId="4" fillId="11" borderId="11" xfId="0" applyFont="1" applyFill="1" applyBorder="1" applyAlignment="1">
      <alignment horizontal="center" vertical="center" wrapText="1"/>
    </xf>
    <xf numFmtId="0" fontId="4" fillId="11" borderId="16" xfId="0" applyFont="1" applyFill="1" applyBorder="1" applyAlignment="1">
      <alignment horizontal="center" vertical="center" wrapText="1"/>
    </xf>
    <xf numFmtId="165" fontId="5" fillId="0" borderId="37" xfId="0" applyNumberFormat="1" applyFont="1" applyBorder="1" applyAlignment="1">
      <alignment horizontal="center" vertical="center"/>
    </xf>
    <xf numFmtId="0" fontId="5" fillId="0" borderId="4" xfId="0" applyFont="1" applyBorder="1" applyAlignment="1">
      <alignment horizontal="center" vertical="center"/>
    </xf>
    <xf numFmtId="0" fontId="5" fillId="0" borderId="38" xfId="0" applyFont="1" applyBorder="1" applyAlignment="1">
      <alignment horizontal="center" vertical="center"/>
    </xf>
    <xf numFmtId="165" fontId="5" fillId="0" borderId="45" xfId="0" applyNumberFormat="1" applyFont="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3" fillId="2" borderId="0" xfId="0" applyFont="1" applyFill="1" applyAlignment="1">
      <alignment horizontal="center" vertical="center"/>
    </xf>
    <xf numFmtId="0" fontId="6" fillId="7" borderId="17" xfId="0" applyFont="1" applyFill="1" applyBorder="1" applyAlignment="1">
      <alignment vertical="center" wrapText="1"/>
    </xf>
    <xf numFmtId="0" fontId="6" fillId="7" borderId="18" xfId="0" applyFont="1" applyFill="1" applyBorder="1" applyAlignment="1">
      <alignment vertical="center" wrapText="1"/>
    </xf>
    <xf numFmtId="0" fontId="6" fillId="7" borderId="24" xfId="0" applyFont="1" applyFill="1" applyBorder="1" applyAlignment="1">
      <alignment vertical="center" wrapText="1"/>
    </xf>
    <xf numFmtId="0" fontId="13" fillId="7" borderId="17" xfId="0" applyFont="1" applyFill="1" applyBorder="1" applyAlignment="1">
      <alignment vertical="center" wrapText="1"/>
    </xf>
    <xf numFmtId="0" fontId="13" fillId="7" borderId="18" xfId="0" applyFont="1" applyFill="1" applyBorder="1" applyAlignment="1">
      <alignment vertical="center" wrapText="1"/>
    </xf>
    <xf numFmtId="0" fontId="13" fillId="7" borderId="24" xfId="0" applyFont="1" applyFill="1" applyBorder="1" applyAlignment="1">
      <alignment vertical="center" wrapText="1"/>
    </xf>
    <xf numFmtId="0" fontId="19" fillId="0" borderId="1" xfId="0" applyFont="1" applyBorder="1" applyAlignment="1">
      <alignment horizontal="justify" vertical="center" wrapText="1"/>
    </xf>
    <xf numFmtId="0" fontId="19" fillId="0" borderId="6" xfId="0" applyFont="1" applyBorder="1" applyAlignment="1">
      <alignment horizontal="justify" vertical="center" wrapText="1"/>
    </xf>
    <xf numFmtId="0" fontId="4" fillId="5" borderId="1" xfId="0" applyFont="1" applyFill="1" applyBorder="1" applyAlignment="1">
      <alignment horizontal="center" vertical="center" wrapText="1"/>
    </xf>
    <xf numFmtId="0" fontId="11" fillId="8" borderId="10" xfId="0" applyFont="1" applyFill="1" applyBorder="1" applyAlignment="1">
      <alignment horizontal="justify" vertical="center" wrapText="1"/>
    </xf>
    <xf numFmtId="0" fontId="11" fillId="8" borderId="1" xfId="0" applyFont="1" applyFill="1" applyBorder="1" applyAlignment="1">
      <alignment horizontal="justify" vertical="center" wrapText="1"/>
    </xf>
    <xf numFmtId="0" fontId="5" fillId="8" borderId="10"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5" fillId="2" borderId="0" xfId="0" applyFont="1" applyFill="1" applyAlignment="1">
      <alignment horizontal="center"/>
    </xf>
    <xf numFmtId="0" fontId="12" fillId="8" borderId="10" xfId="0" applyFont="1" applyFill="1" applyBorder="1" applyAlignment="1">
      <alignment horizontal="justify" vertical="center" wrapText="1"/>
    </xf>
    <xf numFmtId="0" fontId="12" fillId="8" borderId="1" xfId="0" applyFont="1" applyFill="1" applyBorder="1" applyAlignment="1">
      <alignment horizontal="justify" vertical="center" wrapText="1"/>
    </xf>
    <xf numFmtId="0" fontId="5" fillId="8" borderId="10" xfId="0" applyFont="1" applyFill="1" applyBorder="1" applyAlignment="1">
      <alignment horizontal="justify" vertical="center" wrapText="1"/>
    </xf>
    <xf numFmtId="0" fontId="5" fillId="8" borderId="1" xfId="0" applyFont="1" applyFill="1" applyBorder="1" applyAlignment="1">
      <alignment horizontal="justify" vertical="center" wrapText="1"/>
    </xf>
    <xf numFmtId="0" fontId="6" fillId="7" borderId="19" xfId="0" applyFont="1" applyFill="1" applyBorder="1" applyAlignment="1">
      <alignment vertical="center" wrapText="1"/>
    </xf>
    <xf numFmtId="0" fontId="5" fillId="8" borderId="15" xfId="0" applyFont="1" applyFill="1" applyBorder="1" applyAlignment="1">
      <alignment horizontal="justify" vertical="center" wrapText="1"/>
    </xf>
    <xf numFmtId="0" fontId="5" fillId="8" borderId="15"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165" fontId="5" fillId="0" borderId="46" xfId="0" applyNumberFormat="1" applyFont="1" applyBorder="1" applyAlignment="1">
      <alignment horizontal="center" vertical="center"/>
    </xf>
    <xf numFmtId="0" fontId="11" fillId="8" borderId="6"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6" fillId="14" borderId="43" xfId="0" applyFont="1" applyFill="1" applyBorder="1" applyAlignment="1">
      <alignment horizontal="center" vertical="center" wrapText="1"/>
    </xf>
    <xf numFmtId="0" fontId="6" fillId="14" borderId="47"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6"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5"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10" xfId="0" applyFont="1" applyBorder="1" applyAlignment="1">
      <alignment horizontal="center" vertical="center" wrapText="1"/>
    </xf>
    <xf numFmtId="0" fontId="5" fillId="0" borderId="8" xfId="0" applyFont="1" applyBorder="1" applyAlignment="1">
      <alignment horizontal="justify" vertical="center" wrapText="1"/>
    </xf>
    <xf numFmtId="165" fontId="5" fillId="0" borderId="38" xfId="0" applyNumberFormat="1" applyFont="1" applyBorder="1" applyAlignment="1">
      <alignment horizontal="center" vertical="center"/>
    </xf>
    <xf numFmtId="0" fontId="4" fillId="11" borderId="24"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1" borderId="20" xfId="0" applyFont="1" applyFill="1" applyBorder="1" applyAlignment="1">
      <alignment horizontal="center" vertical="center" wrapText="1"/>
    </xf>
    <xf numFmtId="0" fontId="4" fillId="11" borderId="53"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0" fillId="2" borderId="0" xfId="0" applyFill="1" applyAlignment="1">
      <alignment horizontal="center"/>
    </xf>
    <xf numFmtId="0" fontId="6" fillId="7" borderId="17" xfId="0" applyFont="1" applyFill="1" applyBorder="1" applyAlignment="1">
      <alignment horizontal="left" vertical="center" wrapText="1"/>
    </xf>
    <xf numFmtId="0" fontId="6" fillId="7" borderId="24" xfId="0" applyFont="1" applyFill="1" applyBorder="1" applyAlignment="1">
      <alignment horizontal="left" vertical="center" wrapText="1"/>
    </xf>
    <xf numFmtId="0" fontId="6" fillId="7" borderId="18" xfId="0" applyFont="1" applyFill="1" applyBorder="1" applyAlignment="1">
      <alignment horizontal="left" vertical="center" wrapText="1"/>
    </xf>
    <xf numFmtId="0" fontId="5" fillId="0" borderId="3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8" xfId="0" applyFont="1" applyBorder="1" applyAlignment="1">
      <alignment horizontal="center" vertical="center" wrapText="1"/>
    </xf>
    <xf numFmtId="0" fontId="4" fillId="3" borderId="27" xfId="0" applyFont="1" applyFill="1" applyBorder="1" applyAlignment="1">
      <alignment horizontal="center" vertical="center"/>
    </xf>
    <xf numFmtId="0" fontId="4" fillId="3" borderId="25" xfId="0" applyFont="1" applyFill="1" applyBorder="1" applyAlignment="1">
      <alignment horizontal="center" vertical="center"/>
    </xf>
    <xf numFmtId="0" fontId="6" fillId="7" borderId="19" xfId="0" applyFont="1" applyFill="1" applyBorder="1" applyAlignment="1">
      <alignment horizontal="left" vertical="center" wrapText="1"/>
    </xf>
    <xf numFmtId="0" fontId="4" fillId="11" borderId="23" xfId="0" applyFont="1" applyFill="1" applyBorder="1" applyAlignment="1">
      <alignment horizontal="center" vertical="center" wrapText="1"/>
    </xf>
    <xf numFmtId="0" fontId="4" fillId="11" borderId="22"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17"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18" xfId="0" applyFont="1" applyBorder="1" applyAlignment="1">
      <alignment horizontal="justify" vertical="center" wrapText="1"/>
    </xf>
    <xf numFmtId="0" fontId="5" fillId="0" borderId="19" xfId="0" applyFont="1" applyBorder="1" applyAlignment="1">
      <alignment horizontal="justify" vertical="center" wrapText="1"/>
    </xf>
    <xf numFmtId="0" fontId="6" fillId="7" borderId="23" xfId="0" applyFont="1" applyFill="1" applyBorder="1" applyAlignment="1">
      <alignment horizontal="left" vertical="center" wrapText="1"/>
    </xf>
    <xf numFmtId="0" fontId="6" fillId="7" borderId="21" xfId="0" applyFont="1" applyFill="1" applyBorder="1" applyAlignment="1">
      <alignment horizontal="left" vertical="center" wrapText="1"/>
    </xf>
    <xf numFmtId="0" fontId="6" fillId="7" borderId="22" xfId="0" applyFont="1" applyFill="1" applyBorder="1" applyAlignment="1">
      <alignment horizontal="left" vertical="center" wrapText="1"/>
    </xf>
    <xf numFmtId="165" fontId="5" fillId="0" borderId="11" xfId="0" applyNumberFormat="1" applyFont="1" applyBorder="1" applyAlignment="1">
      <alignment horizontal="center" vertical="center"/>
    </xf>
    <xf numFmtId="165" fontId="5" fillId="0" borderId="40" xfId="0" applyNumberFormat="1" applyFont="1" applyBorder="1" applyAlignment="1">
      <alignment horizontal="center" vertical="center"/>
    </xf>
    <xf numFmtId="0" fontId="5" fillId="0" borderId="47" xfId="0" applyFont="1" applyBorder="1" applyAlignment="1">
      <alignment horizontal="center" vertical="center" wrapText="1"/>
    </xf>
    <xf numFmtId="0" fontId="5" fillId="0" borderId="44" xfId="0" applyFont="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6" fillId="4" borderId="7" xfId="0" applyFont="1" applyFill="1" applyBorder="1" applyAlignment="1">
      <alignment horizontal="center" vertical="center"/>
    </xf>
    <xf numFmtId="0" fontId="5" fillId="8" borderId="6" xfId="0" applyFont="1" applyFill="1" applyBorder="1" applyAlignment="1">
      <alignment horizontal="justify"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28" xfId="0" applyFont="1" applyFill="1" applyBorder="1" applyAlignment="1">
      <alignment horizontal="center" vertical="center" wrapText="1"/>
    </xf>
    <xf numFmtId="0" fontId="6" fillId="7" borderId="33" xfId="0" applyFont="1" applyFill="1" applyBorder="1" applyAlignment="1">
      <alignment horizontal="left" vertical="center" wrapText="1"/>
    </xf>
    <xf numFmtId="0" fontId="6" fillId="7" borderId="9" xfId="0" applyFont="1" applyFill="1" applyBorder="1" applyAlignment="1">
      <alignment horizontal="left" vertical="center" wrapText="1"/>
    </xf>
    <xf numFmtId="0" fontId="6" fillId="7" borderId="12" xfId="0" applyFont="1" applyFill="1" applyBorder="1" applyAlignment="1">
      <alignment horizontal="left" vertical="center" wrapText="1"/>
    </xf>
    <xf numFmtId="0" fontId="6" fillId="7" borderId="14" xfId="0" applyFont="1" applyFill="1" applyBorder="1" applyAlignment="1">
      <alignment horizontal="left" vertical="center" wrapText="1"/>
    </xf>
    <xf numFmtId="0" fontId="6" fillId="4" borderId="8" xfId="0" applyFont="1" applyFill="1" applyBorder="1" applyAlignment="1">
      <alignment horizontal="center" vertical="center"/>
    </xf>
    <xf numFmtId="0" fontId="6" fillId="4" borderId="8" xfId="0" applyFont="1" applyFill="1" applyBorder="1" applyAlignment="1">
      <alignment horizontal="center" vertical="center" wrapText="1"/>
    </xf>
  </cellXfs>
  <cellStyles count="16">
    <cellStyle name="Hipervínculo" xfId="1" builtinId="8" hidden="1"/>
    <cellStyle name="Hipervínculo" xfId="3" builtinId="8" hidden="1"/>
    <cellStyle name="Hipervínculo" xfId="14" builtinId="8" hidden="1"/>
    <cellStyle name="Hipervínculo" xfId="5" builtinId="8" hidden="1"/>
    <cellStyle name="Hipervínculo" xfId="7" builtinId="8" hidden="1"/>
    <cellStyle name="Hipervínculo" xfId="9" builtinId="8" hidden="1"/>
    <cellStyle name="Hipervínculo" xfId="11" builtinId="8" hidden="1"/>
    <cellStyle name="Hipervínculo visitado" xfId="2" builtinId="9" hidden="1"/>
    <cellStyle name="Hipervínculo visitado" xfId="15"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Normal" xfId="0" builtinId="0"/>
    <cellStyle name="Porcentaje" xfId="13" builtinId="5"/>
  </cellStyles>
  <dxfs count="0"/>
  <tableStyles count="0" defaultTableStyle="TableStyleMedium9" defaultPivotStyle="PivotStyleMedium7"/>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
  <sheetViews>
    <sheetView tabSelected="1" zoomScale="80" zoomScaleNormal="80" zoomScalePageLayoutView="80" workbookViewId="0">
      <selection sqref="A1:A2"/>
    </sheetView>
  </sheetViews>
  <sheetFormatPr defaultColWidth="10.875" defaultRowHeight="15.75"/>
  <cols>
    <col min="1" max="1" width="71.125" style="154" customWidth="1"/>
    <col min="2" max="2" width="26.625" style="154" customWidth="1"/>
    <col min="3" max="3" width="21.375" style="154" customWidth="1"/>
    <col min="4" max="4" width="22.125" style="154" customWidth="1"/>
    <col min="5" max="7" width="25.5" style="154" customWidth="1"/>
    <col min="8" max="8" width="20.375" style="154" customWidth="1"/>
    <col min="9" max="15" width="25.5" style="154" customWidth="1"/>
    <col min="16" max="16384" width="10.875" style="154"/>
  </cols>
  <sheetData>
    <row r="1" spans="1:18" ht="25.5" customHeight="1" thickBot="1">
      <c r="A1" s="257" t="s">
        <v>0</v>
      </c>
      <c r="B1" s="206" t="s">
        <v>1</v>
      </c>
      <c r="C1" s="263" t="s">
        <v>2</v>
      </c>
      <c r="D1" s="264"/>
      <c r="E1" s="264"/>
      <c r="F1" s="264"/>
      <c r="G1" s="264"/>
      <c r="H1" s="264"/>
      <c r="I1" s="264"/>
      <c r="J1" s="264"/>
      <c r="K1" s="264"/>
      <c r="L1" s="264"/>
      <c r="M1" s="265"/>
      <c r="N1" s="265"/>
      <c r="O1" s="266"/>
      <c r="R1"/>
    </row>
    <row r="2" spans="1:18" ht="49.5" customHeight="1">
      <c r="A2" s="258"/>
      <c r="B2" s="205" t="s">
        <v>3</v>
      </c>
      <c r="C2" s="170" t="s">
        <v>4</v>
      </c>
      <c r="D2" s="171" t="s">
        <v>5</v>
      </c>
      <c r="E2" s="171" t="s">
        <v>6</v>
      </c>
      <c r="F2" s="171" t="s">
        <v>7</v>
      </c>
      <c r="G2" s="171" t="s">
        <v>8</v>
      </c>
      <c r="H2" s="171" t="s">
        <v>9</v>
      </c>
      <c r="I2" s="171" t="s">
        <v>10</v>
      </c>
      <c r="J2" s="171" t="s">
        <v>11</v>
      </c>
      <c r="K2" s="171" t="s">
        <v>12</v>
      </c>
      <c r="L2" s="171" t="s">
        <v>13</v>
      </c>
      <c r="M2" s="202" t="s">
        <v>14</v>
      </c>
      <c r="N2" s="202" t="s">
        <v>15</v>
      </c>
      <c r="O2" s="172" t="s">
        <v>16</v>
      </c>
      <c r="R2"/>
    </row>
    <row r="3" spans="1:18" s="155" customFormat="1" ht="22.5" customHeight="1">
      <c r="A3" s="271" t="s">
        <v>17</v>
      </c>
      <c r="B3" s="272"/>
      <c r="C3" s="267"/>
      <c r="D3" s="268"/>
      <c r="E3" s="268"/>
      <c r="F3" s="268"/>
      <c r="G3" s="268"/>
      <c r="H3" s="268"/>
      <c r="I3" s="268"/>
      <c r="J3" s="268"/>
      <c r="K3" s="268"/>
      <c r="L3" s="268"/>
      <c r="M3" s="269"/>
      <c r="N3" s="269"/>
      <c r="O3" s="270"/>
      <c r="R3"/>
    </row>
    <row r="4" spans="1:18" s="156" customFormat="1" ht="26.25" customHeight="1">
      <c r="A4" s="168" t="s">
        <v>18</v>
      </c>
      <c r="B4" s="152">
        <f>'COSTOS DETALLADOS'!E6</f>
        <v>4541550227.3997841</v>
      </c>
      <c r="C4" s="164">
        <f>'COSTOS DETALLADOS'!F5</f>
        <v>1875860389.6550922</v>
      </c>
      <c r="D4" s="98">
        <f>'COSTOS DETALLADOS'!G5</f>
        <v>0</v>
      </c>
      <c r="E4" s="98">
        <f>'COSTOS DETALLADOS'!H5</f>
        <v>394914724.04480004</v>
      </c>
      <c r="F4" s="98">
        <f>'COSTOS DETALLADOS'!I5</f>
        <v>0</v>
      </c>
      <c r="G4" s="98">
        <f>'COSTOS DETALLADOS'!J5</f>
        <v>394914724.04480004</v>
      </c>
      <c r="H4" s="98">
        <f>'COSTOS DETALLADOS'!K5</f>
        <v>0</v>
      </c>
      <c r="I4" s="98">
        <f>'COSTOS DETALLADOS'!L5</f>
        <v>0</v>
      </c>
      <c r="J4" s="98">
        <f>'COSTOS DETALLADOS'!M5</f>
        <v>1875860389.6550922</v>
      </c>
      <c r="K4" s="98">
        <f>'COSTOS DETALLADOS'!N5</f>
        <v>0</v>
      </c>
      <c r="L4" s="98">
        <f>'COSTOS DETALLADOS'!O5</f>
        <v>0</v>
      </c>
      <c r="M4" s="98">
        <f>'COSTOS DETALLADOS'!P5</f>
        <v>0</v>
      </c>
      <c r="N4" s="98">
        <f>'COSTOS DETALLADOS'!Q5</f>
        <v>0</v>
      </c>
      <c r="O4" s="152">
        <f>SUM(C4:N4)</f>
        <v>4541550227.3997841</v>
      </c>
      <c r="R4"/>
    </row>
    <row r="5" spans="1:18" s="156" customFormat="1" ht="26.25" customHeight="1">
      <c r="A5" s="168" t="s">
        <v>19</v>
      </c>
      <c r="B5" s="152">
        <f>'COSTOS DETALLADOS'!E28</f>
        <v>1816607730.6060801</v>
      </c>
      <c r="C5" s="164">
        <f>'COSTOS DETALLADOS'!F27</f>
        <v>0</v>
      </c>
      <c r="D5" s="98">
        <f>'COSTOS DETALLADOS'!G27</f>
        <v>0</v>
      </c>
      <c r="E5" s="98">
        <f>'COSTOS DETALLADOS'!H27</f>
        <v>1816607730.6060801</v>
      </c>
      <c r="F5" s="98">
        <f>'COSTOS DETALLADOS'!I27</f>
        <v>0</v>
      </c>
      <c r="G5" s="98">
        <f>'COSTOS DETALLADOS'!J27</f>
        <v>0</v>
      </c>
      <c r="H5" s="98">
        <f>'COSTOS DETALLADOS'!K27</f>
        <v>0</v>
      </c>
      <c r="I5" s="98">
        <f>'COSTOS DETALLADOS'!L27</f>
        <v>0</v>
      </c>
      <c r="J5" s="98">
        <f>'COSTOS DETALLADOS'!M27</f>
        <v>0</v>
      </c>
      <c r="K5" s="98">
        <f>'COSTOS DETALLADOS'!N27</f>
        <v>0</v>
      </c>
      <c r="L5" s="98">
        <f>'COSTOS DETALLADOS'!O27</f>
        <v>0</v>
      </c>
      <c r="M5" s="98">
        <f>'COSTOS DETALLADOS'!P27</f>
        <v>0</v>
      </c>
      <c r="N5" s="98">
        <f>'COSTOS DETALLADOS'!Q27</f>
        <v>0</v>
      </c>
      <c r="O5" s="152">
        <f>SUM(C5:N5)</f>
        <v>1816607730.6060801</v>
      </c>
      <c r="R5"/>
    </row>
    <row r="6" spans="1:18" s="156" customFormat="1" ht="26.25" customHeight="1">
      <c r="A6" s="168" t="s">
        <v>20</v>
      </c>
      <c r="B6" s="152">
        <f>'COSTOS DETALLADOS'!E43</f>
        <v>759295650.52108788</v>
      </c>
      <c r="C6" s="164">
        <f>'COSTOS DETALLADOS'!F42</f>
        <v>0</v>
      </c>
      <c r="D6" s="98">
        <f>'COSTOS DETALLADOS'!G42</f>
        <v>0</v>
      </c>
      <c r="E6" s="98">
        <f>'COSTOS DETALLADOS'!H42</f>
        <v>626863558.47167993</v>
      </c>
      <c r="F6" s="98">
        <f>'COSTOS DETALLADOS'!I42</f>
        <v>0</v>
      </c>
      <c r="G6" s="98">
        <f>'COSTOS DETALLADOS'!J42</f>
        <v>0</v>
      </c>
      <c r="H6" s="98">
        <f>'COSTOS DETALLADOS'!K42</f>
        <v>132432092.049408</v>
      </c>
      <c r="I6" s="98">
        <f>'COSTOS DETALLADOS'!L42</f>
        <v>0</v>
      </c>
      <c r="J6" s="98">
        <f>'COSTOS DETALLADOS'!M42</f>
        <v>0</v>
      </c>
      <c r="K6" s="98">
        <f>'COSTOS DETALLADOS'!N42</f>
        <v>0</v>
      </c>
      <c r="L6" s="98">
        <f>'COSTOS DETALLADOS'!O42</f>
        <v>0</v>
      </c>
      <c r="M6" s="98">
        <f>'COSTOS DETALLADOS'!P42</f>
        <v>0</v>
      </c>
      <c r="N6" s="98">
        <f>'COSTOS DETALLADOS'!Q42</f>
        <v>0</v>
      </c>
      <c r="O6" s="152">
        <f>SUM(C6:N6)</f>
        <v>759295650.52108788</v>
      </c>
      <c r="R6"/>
    </row>
    <row r="7" spans="1:18" s="156" customFormat="1" ht="26.25" customHeight="1">
      <c r="A7" s="168" t="s">
        <v>21</v>
      </c>
      <c r="B7" s="152">
        <f>'COSTOS DETALLADOS'!E67</f>
        <v>8588123928.9856005</v>
      </c>
      <c r="C7" s="164">
        <f>'COSTOS DETALLADOS'!F66</f>
        <v>0</v>
      </c>
      <c r="D7" s="98">
        <f>'COSTOS DETALLADOS'!G66</f>
        <v>0</v>
      </c>
      <c r="E7" s="98">
        <f>'COSTOS DETALLADOS'!H66</f>
        <v>0</v>
      </c>
      <c r="F7" s="98">
        <f>'COSTOS DETALLADOS'!I66</f>
        <v>0</v>
      </c>
      <c r="G7" s="98">
        <f>'COSTOS DETALLADOS'!J66</f>
        <v>0</v>
      </c>
      <c r="H7" s="98">
        <f>'COSTOS DETALLADOS'!K66</f>
        <v>0</v>
      </c>
      <c r="I7" s="98">
        <f>'COSTOS DETALLADOS'!L66</f>
        <v>0</v>
      </c>
      <c r="J7" s="98">
        <f>'COSTOS DETALLADOS'!M66</f>
        <v>0</v>
      </c>
      <c r="K7" s="98">
        <f>'COSTOS DETALLADOS'!N66</f>
        <v>0</v>
      </c>
      <c r="L7" s="98">
        <f>'COSTOS DETALLADOS'!O66</f>
        <v>0</v>
      </c>
      <c r="M7" s="98">
        <f>'COSTOS DETALLADOS'!P66</f>
        <v>8588123928.9856005</v>
      </c>
      <c r="N7" s="98">
        <f>'COSTOS DETALLADOS'!Q66</f>
        <v>0</v>
      </c>
      <c r="O7" s="152">
        <f>SUM(C7:N7)</f>
        <v>8588123928.9856005</v>
      </c>
      <c r="R7"/>
    </row>
    <row r="8" spans="1:18" ht="22.5" customHeight="1">
      <c r="A8" s="271" t="s">
        <v>22</v>
      </c>
      <c r="B8" s="272"/>
      <c r="C8" s="259"/>
      <c r="D8" s="260"/>
      <c r="E8" s="260"/>
      <c r="F8" s="260"/>
      <c r="G8" s="260"/>
      <c r="H8" s="260"/>
      <c r="I8" s="260"/>
      <c r="J8" s="260"/>
      <c r="K8" s="260"/>
      <c r="L8" s="260"/>
      <c r="M8" s="261"/>
      <c r="N8" s="261"/>
      <c r="O8" s="262"/>
      <c r="R8"/>
    </row>
    <row r="9" spans="1:18" s="156" customFormat="1" ht="26.25" customHeight="1">
      <c r="A9" s="168" t="s">
        <v>23</v>
      </c>
      <c r="B9" s="152">
        <f>'COSTOS DETALLADOS'!E77</f>
        <v>9458829573.6729603</v>
      </c>
      <c r="C9" s="164">
        <f>'COSTOS DETALLADOS'!F76</f>
        <v>551157055.48800004</v>
      </c>
      <c r="D9" s="98">
        <f>'COSTOS DETALLADOS'!G76</f>
        <v>0</v>
      </c>
      <c r="E9" s="98">
        <f>'COSTOS DETALLADOS'!H76</f>
        <v>2069788405.5756798</v>
      </c>
      <c r="F9" s="98">
        <f>'COSTOS DETALLADOS'!I76</f>
        <v>0</v>
      </c>
      <c r="G9" s="98">
        <f>'COSTOS DETALLADOS'!J76</f>
        <v>0</v>
      </c>
      <c r="H9" s="98">
        <f>'COSTOS DETALLADOS'!K76</f>
        <v>0</v>
      </c>
      <c r="I9" s="98">
        <f>'COSTOS DETALLADOS'!L76</f>
        <v>6286727057.1212807</v>
      </c>
      <c r="J9" s="98">
        <f>'COSTOS DETALLADOS'!M76</f>
        <v>0</v>
      </c>
      <c r="K9" s="98">
        <f>'COSTOS DETALLADOS'!N76</f>
        <v>0</v>
      </c>
      <c r="L9" s="98">
        <f>'COSTOS DETALLADOS'!O76</f>
        <v>551157055.48800004</v>
      </c>
      <c r="M9" s="98">
        <f>'COSTOS DETALLADOS'!P76</f>
        <v>0</v>
      </c>
      <c r="N9" s="98">
        <f>'COSTOS DETALLADOS'!Q76</f>
        <v>0</v>
      </c>
      <c r="O9" s="152">
        <f>SUM(C9:N9)</f>
        <v>9458829573.6729603</v>
      </c>
    </row>
    <row r="10" spans="1:18" s="156" customFormat="1" ht="26.25" customHeight="1">
      <c r="A10" s="168" t="s">
        <v>24</v>
      </c>
      <c r="B10" s="152">
        <f>'COSTOS DETALLADOS'!E98</f>
        <v>513389141.25823998</v>
      </c>
      <c r="C10" s="164">
        <f>'COSTOS DETALLADOS'!F97</f>
        <v>0</v>
      </c>
      <c r="D10" s="98">
        <f>'COSTOS DETALLADOS'!G97</f>
        <v>0</v>
      </c>
      <c r="E10" s="98">
        <f>'COSTOS DETALLADOS'!H97</f>
        <v>0</v>
      </c>
      <c r="F10" s="98">
        <f>'COSTOS DETALLADOS'!I97</f>
        <v>256694570.62911999</v>
      </c>
      <c r="G10" s="98">
        <f>'COSTOS DETALLADOS'!J97</f>
        <v>0</v>
      </c>
      <c r="H10" s="98">
        <f>'COSTOS DETALLADOS'!K97</f>
        <v>256694570.62911999</v>
      </c>
      <c r="I10" s="98">
        <f>'COSTOS DETALLADOS'!L97</f>
        <v>0</v>
      </c>
      <c r="J10" s="98">
        <f>'COSTOS DETALLADOS'!M97</f>
        <v>0</v>
      </c>
      <c r="K10" s="98">
        <f>'COSTOS DETALLADOS'!N97</f>
        <v>0</v>
      </c>
      <c r="L10" s="98">
        <f>'COSTOS DETALLADOS'!O97</f>
        <v>0</v>
      </c>
      <c r="M10" s="98">
        <f>'COSTOS DETALLADOS'!P97</f>
        <v>0</v>
      </c>
      <c r="N10" s="98">
        <f>'COSTOS DETALLADOS'!Q97</f>
        <v>0</v>
      </c>
      <c r="O10" s="152">
        <f>SUM(C10:N10)</f>
        <v>513389141.25823998</v>
      </c>
    </row>
    <row r="11" spans="1:18" ht="22.5" customHeight="1">
      <c r="A11" s="271" t="s">
        <v>25</v>
      </c>
      <c r="B11" s="272"/>
      <c r="C11" s="259"/>
      <c r="D11" s="260"/>
      <c r="E11" s="260"/>
      <c r="F11" s="260"/>
      <c r="G11" s="260"/>
      <c r="H11" s="260"/>
      <c r="I11" s="260"/>
      <c r="J11" s="260"/>
      <c r="K11" s="260"/>
      <c r="L11" s="260"/>
      <c r="M11" s="261"/>
      <c r="N11" s="261"/>
      <c r="O11" s="262"/>
    </row>
    <row r="12" spans="1:18" ht="26.25" customHeight="1">
      <c r="A12" s="168" t="s">
        <v>26</v>
      </c>
      <c r="B12" s="152">
        <f>'COSTOS DETALLADOS'!E104</f>
        <v>19883785848.848385</v>
      </c>
      <c r="C12" s="164">
        <f>'COSTOS DETALLADOS'!F103</f>
        <v>222474417.21344</v>
      </c>
      <c r="D12" s="98">
        <f>'COSTOS DETALLADOS'!G103</f>
        <v>0</v>
      </c>
      <c r="E12" s="98">
        <f>'COSTOS DETALLADOS'!H103</f>
        <v>0</v>
      </c>
      <c r="F12" s="98">
        <f>'COSTOS DETALLADOS'!I103</f>
        <v>0</v>
      </c>
      <c r="G12" s="98">
        <f>'COSTOS DETALLADOS'!J103</f>
        <v>0</v>
      </c>
      <c r="H12" s="98">
        <f>'COSTOS DETALLADOS'!K103</f>
        <v>19542837014.421505</v>
      </c>
      <c r="I12" s="98">
        <f>'COSTOS DETALLADOS'!L103</f>
        <v>0</v>
      </c>
      <c r="J12" s="98">
        <f>'COSTOS DETALLADOS'!M103</f>
        <v>0</v>
      </c>
      <c r="K12" s="98">
        <f>'COSTOS DETALLADOS'!N103</f>
        <v>0</v>
      </c>
      <c r="L12" s="98">
        <f>'COSTOS DETALLADOS'!O103</f>
        <v>0</v>
      </c>
      <c r="M12" s="98">
        <f>'COSTOS DETALLADOS'!P103</f>
        <v>118474417.21343999</v>
      </c>
      <c r="N12" s="98">
        <f>'COSTOS DETALLADOS'!Q103</f>
        <v>0</v>
      </c>
      <c r="O12" s="152">
        <f>SUM(C12:N12)</f>
        <v>19883785848.848385</v>
      </c>
    </row>
    <row r="13" spans="1:18" ht="24.75" customHeight="1">
      <c r="A13" s="271" t="s">
        <v>27</v>
      </c>
      <c r="B13" s="272"/>
      <c r="C13" s="259"/>
      <c r="D13" s="260"/>
      <c r="E13" s="260"/>
      <c r="F13" s="260"/>
      <c r="G13" s="260"/>
      <c r="H13" s="260"/>
      <c r="I13" s="260"/>
      <c r="J13" s="260"/>
      <c r="K13" s="260"/>
      <c r="L13" s="260"/>
      <c r="M13" s="261"/>
      <c r="N13" s="261"/>
      <c r="O13" s="262"/>
    </row>
    <row r="14" spans="1:18" ht="26.25" customHeight="1">
      <c r="A14" s="168" t="s">
        <v>28</v>
      </c>
      <c r="B14" s="152">
        <f>'COSTOS DETALLADOS'!E115</f>
        <v>21716682534.158333</v>
      </c>
      <c r="C14" s="164">
        <f>'COSTOS DETALLADOS'!F114</f>
        <v>5923720860.6719999</v>
      </c>
      <c r="D14" s="98">
        <f>'COSTOS DETALLADOS'!G114</f>
        <v>0</v>
      </c>
      <c r="E14" s="98">
        <f>'COSTOS DETALLADOS'!H114</f>
        <v>0</v>
      </c>
      <c r="F14" s="98">
        <f>'COSTOS DETALLADOS'!I114</f>
        <v>0</v>
      </c>
      <c r="G14" s="98">
        <f>'COSTOS DETALLADOS'!J114</f>
        <v>8676276487.2642555</v>
      </c>
      <c r="H14" s="98">
        <f>'COSTOS DETALLADOS'!K114</f>
        <v>413897668.85376</v>
      </c>
      <c r="I14" s="98">
        <f>'COSTOS DETALLADOS'!L114</f>
        <v>0</v>
      </c>
      <c r="J14" s="98">
        <f>'COSTOS DETALLADOS'!M114</f>
        <v>0</v>
      </c>
      <c r="K14" s="98">
        <f>'COSTOS DETALLADOS'!N114</f>
        <v>0</v>
      </c>
      <c r="L14" s="98">
        <f>'COSTOS DETALLADOS'!O114</f>
        <v>1173981380.7411201</v>
      </c>
      <c r="M14" s="98">
        <f>'COSTOS DETALLADOS'!P114</f>
        <v>1579658896.1792002</v>
      </c>
      <c r="N14" s="98">
        <f>'COSTOS DETALLADOS'!Q114</f>
        <v>3949147240.448</v>
      </c>
      <c r="O14" s="152">
        <f>SUM(C14:N14)</f>
        <v>21716682534.158333</v>
      </c>
    </row>
    <row r="15" spans="1:18" ht="26.25" customHeight="1">
      <c r="A15" s="168" t="s">
        <v>29</v>
      </c>
      <c r="B15" s="152">
        <f>'COSTOS DETALLADOS'!E133</f>
        <v>946778282.51647997</v>
      </c>
      <c r="C15" s="164">
        <f>'COSTOS DETALLADOS'!F132</f>
        <v>0</v>
      </c>
      <c r="D15" s="98">
        <f>'COSTOS DETALLADOS'!G132</f>
        <v>0</v>
      </c>
      <c r="E15" s="98">
        <f>'COSTOS DETALLADOS'!H132</f>
        <v>0</v>
      </c>
      <c r="F15" s="98">
        <f>'COSTOS DETALLADOS'!I132</f>
        <v>0</v>
      </c>
      <c r="G15" s="98">
        <f>'COSTOS DETALLADOS'!J132</f>
        <v>0</v>
      </c>
      <c r="H15" s="98">
        <f>'COSTOS DETALLADOS'!K132</f>
        <v>394914724.04480004</v>
      </c>
      <c r="I15" s="98">
        <f>'COSTOS DETALLADOS'!L132</f>
        <v>0</v>
      </c>
      <c r="J15" s="98">
        <f>'COSTOS DETALLADOS'!M132</f>
        <v>0</v>
      </c>
      <c r="K15" s="98">
        <f>'COSTOS DETALLADOS'!N132</f>
        <v>551863558.47167993</v>
      </c>
      <c r="L15" s="98">
        <f>'COSTOS DETALLADOS'!O132</f>
        <v>0</v>
      </c>
      <c r="M15" s="98">
        <f>'COSTOS DETALLADOS'!P132</f>
        <v>0</v>
      </c>
      <c r="N15" s="98">
        <f>'COSTOS DETALLADOS'!Q132</f>
        <v>0</v>
      </c>
      <c r="O15" s="152">
        <f>SUM(C15:N15)</f>
        <v>946778282.51647997</v>
      </c>
    </row>
    <row r="16" spans="1:18" ht="24.75" customHeight="1">
      <c r="A16" s="271" t="s">
        <v>30</v>
      </c>
      <c r="B16" s="272"/>
      <c r="C16" s="259"/>
      <c r="D16" s="260"/>
      <c r="E16" s="260"/>
      <c r="F16" s="260"/>
      <c r="G16" s="260"/>
      <c r="H16" s="260"/>
      <c r="I16" s="260"/>
      <c r="J16" s="260"/>
      <c r="K16" s="260"/>
      <c r="L16" s="260"/>
      <c r="M16" s="261"/>
      <c r="N16" s="261"/>
      <c r="O16" s="262"/>
    </row>
    <row r="17" spans="1:15" ht="26.25" customHeight="1">
      <c r="A17" s="168" t="s">
        <v>31</v>
      </c>
      <c r="B17" s="152">
        <f>'COSTOS DETALLADOS'!E144</f>
        <v>11689475831.72608</v>
      </c>
      <c r="C17" s="164">
        <f>'COSTOS DETALLADOS'!F143</f>
        <v>0</v>
      </c>
      <c r="D17" s="98">
        <f>'COSTOS DETALLADOS'!G143</f>
        <v>0</v>
      </c>
      <c r="E17" s="98">
        <f>'COSTOS DETALLADOS'!H143</f>
        <v>0</v>
      </c>
      <c r="F17" s="98">
        <f>'COSTOS DETALLADOS'!I143</f>
        <v>0</v>
      </c>
      <c r="G17" s="98">
        <f>'COSTOS DETALLADOS'!J143</f>
        <v>3001351902.7404799</v>
      </c>
      <c r="H17" s="98">
        <f>'COSTOS DETALLADOS'!K143</f>
        <v>8688123928.9855995</v>
      </c>
      <c r="I17" s="98">
        <f>'COSTOS DETALLADOS'!L143</f>
        <v>0</v>
      </c>
      <c r="J17" s="98">
        <f>'COSTOS DETALLADOS'!M143</f>
        <v>0</v>
      </c>
      <c r="K17" s="98">
        <f>'COSTOS DETALLADOS'!N143</f>
        <v>0</v>
      </c>
      <c r="L17" s="98">
        <f>'COSTOS DETALLADOS'!O143</f>
        <v>0</v>
      </c>
      <c r="M17" s="98">
        <f>'COSTOS DETALLADOS'!P143</f>
        <v>0</v>
      </c>
      <c r="N17" s="98">
        <f>'COSTOS DETALLADOS'!Q143</f>
        <v>0</v>
      </c>
      <c r="O17" s="152">
        <f>SUM(C17:N17)</f>
        <v>11689475831.72608</v>
      </c>
    </row>
    <row r="18" spans="1:15" ht="26.25" customHeight="1">
      <c r="A18" s="168" t="s">
        <v>32</v>
      </c>
      <c r="B18" s="152">
        <f>'COSTOS DETALLADOS'!E163</f>
        <v>4804840872.6364155</v>
      </c>
      <c r="C18" s="164">
        <f>'COSTOS DETALLADOS'!F162</f>
        <v>0</v>
      </c>
      <c r="D18" s="98">
        <f>'COSTOS DETALLADOS'!G162</f>
        <v>0</v>
      </c>
      <c r="E18" s="98">
        <f>'COSTOS DETALLADOS'!H162</f>
        <v>0</v>
      </c>
      <c r="F18" s="98">
        <f>'COSTOS DETALLADOS'!I162</f>
        <v>0</v>
      </c>
      <c r="G18" s="98">
        <f>'COSTOS DETALLADOS'!J162</f>
        <v>0</v>
      </c>
      <c r="H18" s="98">
        <f>'COSTOS DETALLADOS'!K162</f>
        <v>4804840872.6364155</v>
      </c>
      <c r="I18" s="98">
        <f>'COSTOS DETALLADOS'!L162</f>
        <v>0</v>
      </c>
      <c r="J18" s="98">
        <f>'COSTOS DETALLADOS'!M162</f>
        <v>0</v>
      </c>
      <c r="K18" s="98">
        <f>'COSTOS DETALLADOS'!N162</f>
        <v>0</v>
      </c>
      <c r="L18" s="98">
        <f>'COSTOS DETALLADOS'!O162</f>
        <v>0</v>
      </c>
      <c r="M18" s="98">
        <f>'COSTOS DETALLADOS'!P162</f>
        <v>0</v>
      </c>
      <c r="N18" s="98">
        <f>'COSTOS DETALLADOS'!Q162</f>
        <v>0</v>
      </c>
      <c r="O18" s="152">
        <f>SUM(C18:N18)</f>
        <v>4804840872.6364155</v>
      </c>
    </row>
    <row r="19" spans="1:15" ht="26.25" customHeight="1">
      <c r="A19" s="168" t="s">
        <v>33</v>
      </c>
      <c r="B19" s="152">
        <f>'COSTOS DETALLADOS'!E172</f>
        <v>12201380422.143181</v>
      </c>
      <c r="C19" s="164">
        <f>'COSTOS DETALLADOS'!F171</f>
        <v>2947403068.3136001</v>
      </c>
      <c r="D19" s="98">
        <f>'COSTOS DETALLADOS'!G171</f>
        <v>0</v>
      </c>
      <c r="E19" s="98">
        <f>'COSTOS DETALLADOS'!H171</f>
        <v>0</v>
      </c>
      <c r="F19" s="98">
        <f>'COSTOS DETALLADOS'!I171</f>
        <v>0</v>
      </c>
      <c r="G19" s="98">
        <f>'COSTOS DETALLADOS'!J171</f>
        <v>0</v>
      </c>
      <c r="H19" s="98">
        <f>'COSTOS DETALLADOS'!K171</f>
        <v>9253977353.8295803</v>
      </c>
      <c r="I19" s="98">
        <f>'COSTOS DETALLADOS'!L171</f>
        <v>0</v>
      </c>
      <c r="J19" s="98">
        <f>'COSTOS DETALLADOS'!M171</f>
        <v>0</v>
      </c>
      <c r="K19" s="98">
        <f>'COSTOS DETALLADOS'!N171</f>
        <v>0</v>
      </c>
      <c r="L19" s="98">
        <f>'COSTOS DETALLADOS'!O171</f>
        <v>0</v>
      </c>
      <c r="M19" s="98">
        <f>'COSTOS DETALLADOS'!P171</f>
        <v>0</v>
      </c>
      <c r="N19" s="98">
        <f>'COSTOS DETALLADOS'!Q171</f>
        <v>0</v>
      </c>
      <c r="O19" s="152">
        <f>SUM(C19:N19)</f>
        <v>12201380422.143181</v>
      </c>
    </row>
    <row r="20" spans="1:15" ht="24" customHeight="1" thickBot="1">
      <c r="A20" s="169" t="s">
        <v>34</v>
      </c>
      <c r="B20" s="167">
        <f>SUM(B4:B7,B9:B10,B12,B14:B15,B17:B19)</f>
        <v>96920740044.472626</v>
      </c>
      <c r="C20" s="165">
        <f t="shared" ref="C20:O20" si="0">SUM(C4:C7,C9:C10,C12,C14:C15,C17:C19)</f>
        <v>11520615791.342133</v>
      </c>
      <c r="D20" s="166">
        <f t="shared" si="0"/>
        <v>0</v>
      </c>
      <c r="E20" s="166">
        <f t="shared" si="0"/>
        <v>4908174418.6982393</v>
      </c>
      <c r="F20" s="166">
        <f t="shared" si="0"/>
        <v>256694570.62911999</v>
      </c>
      <c r="G20" s="166">
        <f t="shared" si="0"/>
        <v>12072543114.049536</v>
      </c>
      <c r="H20" s="166">
        <f t="shared" si="0"/>
        <v>43487718225.450188</v>
      </c>
      <c r="I20" s="166">
        <f t="shared" si="0"/>
        <v>6286727057.1212807</v>
      </c>
      <c r="J20" s="166">
        <f t="shared" si="0"/>
        <v>1875860389.6550922</v>
      </c>
      <c r="K20" s="166">
        <f t="shared" si="0"/>
        <v>551863558.47167993</v>
      </c>
      <c r="L20" s="166">
        <f t="shared" si="0"/>
        <v>1725138436.2291203</v>
      </c>
      <c r="M20" s="166">
        <f t="shared" si="0"/>
        <v>10286257242.378242</v>
      </c>
      <c r="N20" s="166">
        <f t="shared" si="0"/>
        <v>3949147240.448</v>
      </c>
      <c r="O20" s="167">
        <f t="shared" si="0"/>
        <v>96920740044.472626</v>
      </c>
    </row>
  </sheetData>
  <sheetProtection algorithmName="SHA-512" hashValue="CVIW94jEukSs51+ss9//o4A9YydjXSDE7O3WR7uvEqtOA8hNqO3wFpeX8dD1JYx2jHkgjPhJ6HVuSFrqiGlBOw==" saltValue="/ojxBpUJ6hDl4Jcqj7nqIQ==" spinCount="100000" sheet="1" objects="1" scenarios="1"/>
  <mergeCells count="12">
    <mergeCell ref="A1:A2"/>
    <mergeCell ref="C8:O8"/>
    <mergeCell ref="C11:O11"/>
    <mergeCell ref="C13:O13"/>
    <mergeCell ref="C16:O16"/>
    <mergeCell ref="C1:O1"/>
    <mergeCell ref="C3:O3"/>
    <mergeCell ref="A3:B3"/>
    <mergeCell ref="A8:B8"/>
    <mergeCell ref="A11:B11"/>
    <mergeCell ref="A16:B16"/>
    <mergeCell ref="A13:B13"/>
  </mergeCells>
  <pageMargins left="0.7" right="0.7" top="0.75" bottom="0.75" header="0.3" footer="0.3"/>
  <pageSetup orientation="portrait" horizontalDpi="0" verticalDpi="0" r:id="rId1"/>
  <ignoredErrors>
    <ignoredError sqref="B19:B20 B4 B9:B10 B12 B14:B15 B17:B18 O20 B6:B7"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9"/>
  <sheetViews>
    <sheetView zoomScale="80" zoomScaleNormal="80" zoomScalePageLayoutView="50" workbookViewId="0">
      <selection sqref="A1:P1"/>
    </sheetView>
  </sheetViews>
  <sheetFormatPr defaultColWidth="11" defaultRowHeight="15.75"/>
  <cols>
    <col min="1" max="1" width="28.125" customWidth="1"/>
    <col min="2" max="2" width="52.875" customWidth="1"/>
    <col min="3" max="3" width="27.125" customWidth="1"/>
    <col min="5" max="5" width="13.5" customWidth="1"/>
    <col min="6" max="6" width="35.5" customWidth="1"/>
    <col min="7" max="7" width="14.875" customWidth="1"/>
    <col min="8" max="8" width="19.5" customWidth="1"/>
    <col min="9" max="9" width="24.875" customWidth="1"/>
    <col min="10" max="16" width="6.375" customWidth="1"/>
    <col min="17" max="17" width="18.125" style="105" customWidth="1"/>
    <col min="18" max="18" width="7.875" customWidth="1"/>
    <col min="19" max="25" width="16.125" customWidth="1"/>
    <col min="26" max="27" width="23.625" customWidth="1"/>
    <col min="28" max="28" width="27.625" customWidth="1"/>
  </cols>
  <sheetData>
    <row r="1" spans="1:29" ht="32.1" customHeight="1">
      <c r="A1" s="347" t="s">
        <v>91</v>
      </c>
      <c r="B1" s="347"/>
      <c r="C1" s="347"/>
      <c r="D1" s="347"/>
      <c r="E1" s="347"/>
      <c r="F1" s="347"/>
      <c r="G1" s="347"/>
      <c r="H1" s="347"/>
      <c r="I1" s="347"/>
      <c r="J1" s="347"/>
      <c r="K1" s="347"/>
      <c r="L1" s="347"/>
      <c r="M1" s="347"/>
      <c r="N1" s="347"/>
      <c r="O1" s="347"/>
      <c r="P1" s="347"/>
    </row>
    <row r="2" spans="1:29" ht="16.5" thickBot="1">
      <c r="A2" s="403"/>
      <c r="B2" s="403"/>
      <c r="C2" s="403"/>
      <c r="D2" s="403"/>
      <c r="E2" s="403"/>
      <c r="F2" s="403"/>
      <c r="G2" s="403"/>
      <c r="H2" s="403"/>
      <c r="I2" s="403"/>
      <c r="J2" s="403"/>
      <c r="K2" s="403"/>
      <c r="L2" s="403"/>
      <c r="M2" s="403"/>
      <c r="N2" s="403"/>
      <c r="O2" s="403"/>
      <c r="P2" s="404"/>
      <c r="R2" s="224">
        <f>R5+1</f>
        <v>1.04</v>
      </c>
    </row>
    <row r="3" spans="1:29" ht="22.5" customHeight="1">
      <c r="A3" s="361" t="s">
        <v>92</v>
      </c>
      <c r="B3" s="324" t="s">
        <v>93</v>
      </c>
      <c r="C3" s="324" t="s">
        <v>94</v>
      </c>
      <c r="D3" s="324" t="s">
        <v>35</v>
      </c>
      <c r="E3" s="326" t="s">
        <v>95</v>
      </c>
      <c r="F3" s="326" t="s">
        <v>96</v>
      </c>
      <c r="G3" s="324" t="s">
        <v>97</v>
      </c>
      <c r="H3" s="324" t="s">
        <v>98</v>
      </c>
      <c r="I3" s="326" t="s">
        <v>99</v>
      </c>
      <c r="J3" s="356" t="s">
        <v>100</v>
      </c>
      <c r="K3" s="356"/>
      <c r="L3" s="356"/>
      <c r="M3" s="356"/>
      <c r="N3" s="356"/>
      <c r="O3" s="356"/>
      <c r="P3" s="356"/>
      <c r="Q3" s="334" t="s">
        <v>101</v>
      </c>
      <c r="R3" s="336" t="s">
        <v>102</v>
      </c>
      <c r="S3" s="338" t="s">
        <v>103</v>
      </c>
      <c r="T3" s="338"/>
      <c r="U3" s="338"/>
      <c r="V3" s="338"/>
      <c r="W3" s="338"/>
      <c r="X3" s="338"/>
      <c r="Y3" s="392"/>
      <c r="Z3" s="339" t="s">
        <v>104</v>
      </c>
      <c r="AA3" s="394" t="s">
        <v>105</v>
      </c>
      <c r="AB3" s="377" t="s">
        <v>2</v>
      </c>
    </row>
    <row r="4" spans="1:29" ht="22.5" customHeight="1" thickBot="1">
      <c r="A4" s="362"/>
      <c r="B4" s="325"/>
      <c r="C4" s="325"/>
      <c r="D4" s="325"/>
      <c r="E4" s="324"/>
      <c r="F4" s="324"/>
      <c r="G4" s="325"/>
      <c r="H4" s="325"/>
      <c r="I4" s="324"/>
      <c r="J4" s="1">
        <v>2021</v>
      </c>
      <c r="K4" s="1">
        <v>2022</v>
      </c>
      <c r="L4" s="1">
        <v>2023</v>
      </c>
      <c r="M4" s="1">
        <v>2024</v>
      </c>
      <c r="N4" s="1">
        <v>2025</v>
      </c>
      <c r="O4" s="1">
        <v>2026</v>
      </c>
      <c r="P4" s="1">
        <v>2027</v>
      </c>
      <c r="Q4" s="390"/>
      <c r="R4" s="391"/>
      <c r="S4" s="90">
        <v>2021</v>
      </c>
      <c r="T4" s="90">
        <v>2022</v>
      </c>
      <c r="U4" s="90">
        <v>2023</v>
      </c>
      <c r="V4" s="90">
        <v>2024</v>
      </c>
      <c r="W4" s="90">
        <v>2025</v>
      </c>
      <c r="X4" s="90">
        <v>2026</v>
      </c>
      <c r="Y4" s="91">
        <v>2027</v>
      </c>
      <c r="Z4" s="393"/>
      <c r="AA4" s="395"/>
      <c r="AB4" s="378"/>
    </row>
    <row r="5" spans="1:29" s="14" customFormat="1" ht="89.1" customHeight="1">
      <c r="A5" s="348" t="s">
        <v>493</v>
      </c>
      <c r="B5" s="246" t="s">
        <v>494</v>
      </c>
      <c r="C5" s="11" t="s">
        <v>495</v>
      </c>
      <c r="D5" s="11" t="s">
        <v>496</v>
      </c>
      <c r="E5" s="11" t="s">
        <v>119</v>
      </c>
      <c r="F5" s="246" t="s">
        <v>497</v>
      </c>
      <c r="G5" s="11" t="s">
        <v>113</v>
      </c>
      <c r="H5" s="11" t="s">
        <v>113</v>
      </c>
      <c r="I5" s="11" t="s">
        <v>498</v>
      </c>
      <c r="J5" s="11">
        <v>1</v>
      </c>
      <c r="K5" s="11">
        <v>1</v>
      </c>
      <c r="L5" s="11">
        <v>1</v>
      </c>
      <c r="M5" s="11">
        <v>1</v>
      </c>
      <c r="N5" s="11">
        <v>1</v>
      </c>
      <c r="O5" s="11">
        <v>1</v>
      </c>
      <c r="P5" s="120">
        <v>1</v>
      </c>
      <c r="Q5" s="92">
        <v>500000000</v>
      </c>
      <c r="R5" s="93">
        <v>0.04</v>
      </c>
      <c r="S5" s="214">
        <f t="shared" ref="S5:S27" si="0">IF(J5&lt;&gt;0,Q5,0)</f>
        <v>500000000</v>
      </c>
      <c r="T5" s="214">
        <f t="shared" ref="T5:T27" si="1">IF(K5&lt;&gt;0,(IF(S5&lt;&gt;0,(S5*$R$2),($Q5*$R$2))),0)</f>
        <v>520000000</v>
      </c>
      <c r="U5" s="214">
        <f t="shared" ref="U5:U27" si="2">IF(L5&lt;&gt;0,(IF(T5&lt;&gt;0,(T5*$R$2),(($Q5*$R$2)*$R$2))),0)</f>
        <v>540800000</v>
      </c>
      <c r="V5" s="214">
        <f t="shared" ref="V5:V27" si="3">IF(M5&lt;&gt;0,(IF(U5&lt;&gt;0,(U5*$R$2),(($Q5*$R$2)*$R$2*$R$2))),0)</f>
        <v>562432000</v>
      </c>
      <c r="W5" s="214">
        <f t="shared" ref="W5:W27" si="4">IF(N5&lt;&gt;0,(IF(V5&lt;&gt;0,(V5*$R$2),(($Q5*$R$2)*$R$2*$R$2*$R$2))),0)</f>
        <v>584929280</v>
      </c>
      <c r="X5" s="214">
        <f t="shared" ref="X5:X27" si="5">IF(O5&lt;&gt;0,(IF(W5&lt;&gt;0,(W5*$R$2),(($Q5*$R$2)*$R$2*$R$2*$R$2*$R$2))),0)</f>
        <v>608326451.20000005</v>
      </c>
      <c r="Y5" s="214">
        <f t="shared" ref="Y5:Y27" si="6">IF(P5&lt;&gt;0,(IF(X5&lt;&gt;0,(X5*$R$2),(($Q5*$R$2)*$R$2*$R$2*$R$2*$R$2*$R$2))),0)</f>
        <v>632659509.24800003</v>
      </c>
      <c r="Z5" s="94">
        <f>SUM(S5:Y5)</f>
        <v>3949147240.448</v>
      </c>
      <c r="AA5" s="218">
        <f>Z5</f>
        <v>3949147240.448</v>
      </c>
      <c r="AB5" s="219" t="s">
        <v>15</v>
      </c>
    </row>
    <row r="6" spans="1:29" s="14" customFormat="1" ht="91.5" customHeight="1" thickBot="1">
      <c r="A6" s="368"/>
      <c r="B6" s="247" t="s">
        <v>499</v>
      </c>
      <c r="C6" s="8" t="s">
        <v>500</v>
      </c>
      <c r="D6" s="8" t="s">
        <v>501</v>
      </c>
      <c r="E6" s="8" t="s">
        <v>119</v>
      </c>
      <c r="F6" s="247" t="s">
        <v>502</v>
      </c>
      <c r="G6" s="8" t="s">
        <v>113</v>
      </c>
      <c r="H6" s="8" t="s">
        <v>113</v>
      </c>
      <c r="I6" s="8" t="s">
        <v>503</v>
      </c>
      <c r="J6" s="8">
        <v>2</v>
      </c>
      <c r="K6" s="8">
        <v>2</v>
      </c>
      <c r="L6" s="8">
        <v>2</v>
      </c>
      <c r="M6" s="8">
        <v>2</v>
      </c>
      <c r="N6" s="8">
        <v>2</v>
      </c>
      <c r="O6" s="8">
        <v>2</v>
      </c>
      <c r="P6" s="125">
        <v>2</v>
      </c>
      <c r="Q6" s="130">
        <v>6000000</v>
      </c>
      <c r="R6" s="102">
        <v>0.04</v>
      </c>
      <c r="S6" s="103">
        <f t="shared" si="0"/>
        <v>6000000</v>
      </c>
      <c r="T6" s="103">
        <f t="shared" si="1"/>
        <v>6240000</v>
      </c>
      <c r="U6" s="103">
        <f t="shared" si="2"/>
        <v>6489600</v>
      </c>
      <c r="V6" s="103">
        <f t="shared" si="3"/>
        <v>6749184</v>
      </c>
      <c r="W6" s="103">
        <f t="shared" si="4"/>
        <v>7019151.3600000003</v>
      </c>
      <c r="X6" s="103">
        <f t="shared" si="5"/>
        <v>7299917.4144000011</v>
      </c>
      <c r="Y6" s="103">
        <f t="shared" si="6"/>
        <v>7591914.1109760012</v>
      </c>
      <c r="Z6" s="104">
        <f t="shared" ref="Z6:Z27" si="7">SUM(S6:Y6)</f>
        <v>47389766.885376006</v>
      </c>
      <c r="AA6" s="153">
        <f>Z6</f>
        <v>47389766.885376006</v>
      </c>
      <c r="AB6" s="217" t="s">
        <v>8</v>
      </c>
      <c r="AC6" s="70"/>
    </row>
    <row r="7" spans="1:29" s="14" customFormat="1" ht="86.1" customHeight="1">
      <c r="A7" s="348" t="s">
        <v>504</v>
      </c>
      <c r="B7" s="246" t="s">
        <v>505</v>
      </c>
      <c r="C7" s="11" t="s">
        <v>506</v>
      </c>
      <c r="D7" s="11" t="s">
        <v>124</v>
      </c>
      <c r="E7" s="11" t="s">
        <v>174</v>
      </c>
      <c r="F7" s="246" t="s">
        <v>507</v>
      </c>
      <c r="G7" s="11" t="s">
        <v>112</v>
      </c>
      <c r="H7" s="11" t="s">
        <v>113</v>
      </c>
      <c r="I7" s="11" t="s">
        <v>508</v>
      </c>
      <c r="J7" s="11">
        <v>2</v>
      </c>
      <c r="K7" s="11">
        <v>3</v>
      </c>
      <c r="L7" s="11">
        <v>3</v>
      </c>
      <c r="M7" s="11">
        <v>4</v>
      </c>
      <c r="N7" s="11">
        <v>4</v>
      </c>
      <c r="O7" s="11">
        <v>5</v>
      </c>
      <c r="P7" s="120">
        <v>5</v>
      </c>
      <c r="Q7" s="126">
        <v>30000000</v>
      </c>
      <c r="R7" s="127">
        <v>0.04</v>
      </c>
      <c r="S7" s="128">
        <f t="shared" si="0"/>
        <v>30000000</v>
      </c>
      <c r="T7" s="128">
        <f t="shared" si="1"/>
        <v>31200000</v>
      </c>
      <c r="U7" s="128">
        <f t="shared" si="2"/>
        <v>32448000</v>
      </c>
      <c r="V7" s="128">
        <f t="shared" si="3"/>
        <v>33745920</v>
      </c>
      <c r="W7" s="128">
        <f t="shared" si="4"/>
        <v>35095756.800000004</v>
      </c>
      <c r="X7" s="128">
        <f t="shared" si="5"/>
        <v>36499587.072000004</v>
      </c>
      <c r="Y7" s="128">
        <f t="shared" si="6"/>
        <v>37959570.554880008</v>
      </c>
      <c r="Z7" s="129">
        <f t="shared" si="7"/>
        <v>236948834.42688</v>
      </c>
      <c r="AA7" s="220">
        <f>Z7</f>
        <v>236948834.42688</v>
      </c>
      <c r="AB7" s="216" t="s">
        <v>8</v>
      </c>
      <c r="AC7" s="70"/>
    </row>
    <row r="8" spans="1:29" s="14" customFormat="1" ht="95.25" customHeight="1" thickBot="1">
      <c r="A8" s="368"/>
      <c r="B8" s="247" t="s">
        <v>509</v>
      </c>
      <c r="C8" s="8" t="s">
        <v>510</v>
      </c>
      <c r="D8" s="8" t="s">
        <v>274</v>
      </c>
      <c r="E8" s="8" t="s">
        <v>119</v>
      </c>
      <c r="F8" s="247" t="s">
        <v>511</v>
      </c>
      <c r="G8" s="8" t="s">
        <v>112</v>
      </c>
      <c r="H8" s="8" t="s">
        <v>113</v>
      </c>
      <c r="I8" s="43" t="s">
        <v>512</v>
      </c>
      <c r="J8" s="8">
        <v>1</v>
      </c>
      <c r="K8" s="8">
        <v>1</v>
      </c>
      <c r="L8" s="8">
        <v>1</v>
      </c>
      <c r="M8" s="8">
        <v>1</v>
      </c>
      <c r="N8" s="8">
        <v>1</v>
      </c>
      <c r="O8" s="8">
        <v>1</v>
      </c>
      <c r="P8" s="125">
        <v>1</v>
      </c>
      <c r="Q8" s="130">
        <v>15000000</v>
      </c>
      <c r="R8" s="102">
        <v>0.04</v>
      </c>
      <c r="S8" s="103">
        <f t="shared" si="0"/>
        <v>15000000</v>
      </c>
      <c r="T8" s="103">
        <f t="shared" si="1"/>
        <v>15600000</v>
      </c>
      <c r="U8" s="103">
        <f t="shared" si="2"/>
        <v>16224000</v>
      </c>
      <c r="V8" s="103">
        <f t="shared" si="3"/>
        <v>16872960</v>
      </c>
      <c r="W8" s="103">
        <f t="shared" si="4"/>
        <v>17547878.400000002</v>
      </c>
      <c r="X8" s="103">
        <f t="shared" si="5"/>
        <v>18249793.536000002</v>
      </c>
      <c r="Y8" s="103">
        <f t="shared" si="6"/>
        <v>18979785.277440004</v>
      </c>
      <c r="Z8" s="104">
        <f t="shared" si="7"/>
        <v>118474417.21344</v>
      </c>
      <c r="AA8" s="153">
        <f>Z8</f>
        <v>118474417.21344</v>
      </c>
      <c r="AB8" s="217" t="s">
        <v>8</v>
      </c>
      <c r="AC8" s="70"/>
    </row>
    <row r="9" spans="1:29" s="14" customFormat="1" ht="114.75" customHeight="1">
      <c r="A9" s="348" t="s">
        <v>513</v>
      </c>
      <c r="B9" s="386" t="s">
        <v>514</v>
      </c>
      <c r="C9" s="387" t="s">
        <v>515</v>
      </c>
      <c r="D9" s="400" t="s">
        <v>124</v>
      </c>
      <c r="E9" s="11" t="s">
        <v>119</v>
      </c>
      <c r="F9" s="246" t="s">
        <v>516</v>
      </c>
      <c r="G9" s="11" t="s">
        <v>112</v>
      </c>
      <c r="H9" s="11" t="s">
        <v>113</v>
      </c>
      <c r="I9" s="11" t="s">
        <v>517</v>
      </c>
      <c r="J9" s="11">
        <v>1</v>
      </c>
      <c r="K9" s="11">
        <v>1</v>
      </c>
      <c r="L9" s="11">
        <v>1</v>
      </c>
      <c r="M9" s="11">
        <v>1</v>
      </c>
      <c r="N9" s="11">
        <v>1</v>
      </c>
      <c r="O9" s="11">
        <v>1</v>
      </c>
      <c r="P9" s="120">
        <v>1</v>
      </c>
      <c r="Q9" s="126">
        <v>0</v>
      </c>
      <c r="R9" s="127">
        <v>0.04</v>
      </c>
      <c r="S9" s="128">
        <f t="shared" si="0"/>
        <v>0</v>
      </c>
      <c r="T9" s="128">
        <f t="shared" si="1"/>
        <v>0</v>
      </c>
      <c r="U9" s="128">
        <f t="shared" si="2"/>
        <v>0</v>
      </c>
      <c r="V9" s="128">
        <f t="shared" si="3"/>
        <v>0</v>
      </c>
      <c r="W9" s="128">
        <f t="shared" si="4"/>
        <v>0</v>
      </c>
      <c r="X9" s="128">
        <f t="shared" si="5"/>
        <v>0</v>
      </c>
      <c r="Y9" s="128">
        <f t="shared" si="6"/>
        <v>0</v>
      </c>
      <c r="Z9" s="129">
        <f t="shared" si="7"/>
        <v>0</v>
      </c>
      <c r="AA9" s="417">
        <f>SUM(Z9:Z10)</f>
        <v>1382201534.1568</v>
      </c>
      <c r="AB9" s="327" t="s">
        <v>518</v>
      </c>
      <c r="AC9" s="70"/>
    </row>
    <row r="10" spans="1:29" s="14" customFormat="1" ht="87" customHeight="1">
      <c r="A10" s="349"/>
      <c r="B10" s="381"/>
      <c r="C10" s="382"/>
      <c r="D10" s="402"/>
      <c r="E10" s="45" t="s">
        <v>174</v>
      </c>
      <c r="F10" s="232" t="s">
        <v>519</v>
      </c>
      <c r="G10" s="45" t="s">
        <v>112</v>
      </c>
      <c r="H10" s="45" t="s">
        <v>113</v>
      </c>
      <c r="I10" s="45" t="s">
        <v>520</v>
      </c>
      <c r="J10" s="15">
        <v>1</v>
      </c>
      <c r="K10" s="15">
        <v>1</v>
      </c>
      <c r="L10" s="15">
        <v>1</v>
      </c>
      <c r="M10" s="15">
        <v>1</v>
      </c>
      <c r="N10" s="15">
        <v>1</v>
      </c>
      <c r="O10" s="15">
        <v>1</v>
      </c>
      <c r="P10" s="108">
        <v>1</v>
      </c>
      <c r="Q10" s="95">
        <v>175000000</v>
      </c>
      <c r="R10" s="96">
        <v>0.04</v>
      </c>
      <c r="S10" s="97">
        <f t="shared" si="0"/>
        <v>175000000</v>
      </c>
      <c r="T10" s="97">
        <f t="shared" si="1"/>
        <v>182000000</v>
      </c>
      <c r="U10" s="97">
        <f t="shared" si="2"/>
        <v>189280000</v>
      </c>
      <c r="V10" s="97">
        <f t="shared" si="3"/>
        <v>196851200</v>
      </c>
      <c r="W10" s="97">
        <f t="shared" si="4"/>
        <v>204725248</v>
      </c>
      <c r="X10" s="97">
        <f t="shared" si="5"/>
        <v>212914257.92000002</v>
      </c>
      <c r="Y10" s="97">
        <f t="shared" si="6"/>
        <v>221430828.23680001</v>
      </c>
      <c r="Z10" s="98">
        <f t="shared" si="7"/>
        <v>1382201534.1568</v>
      </c>
      <c r="AA10" s="320"/>
      <c r="AB10" s="332"/>
      <c r="AC10" s="70"/>
    </row>
    <row r="11" spans="1:29" s="14" customFormat="1" ht="81.75" customHeight="1">
      <c r="A11" s="349"/>
      <c r="B11" s="232" t="s">
        <v>521</v>
      </c>
      <c r="C11" s="45" t="s">
        <v>522</v>
      </c>
      <c r="D11" s="45" t="s">
        <v>293</v>
      </c>
      <c r="E11" s="45" t="s">
        <v>119</v>
      </c>
      <c r="F11" s="232" t="s">
        <v>523</v>
      </c>
      <c r="G11" s="45" t="s">
        <v>112</v>
      </c>
      <c r="H11" s="45" t="s">
        <v>113</v>
      </c>
      <c r="I11" s="45" t="s">
        <v>524</v>
      </c>
      <c r="J11" s="45">
        <v>15</v>
      </c>
      <c r="K11" s="45">
        <v>15</v>
      </c>
      <c r="L11" s="45">
        <v>15</v>
      </c>
      <c r="M11" s="45">
        <v>15</v>
      </c>
      <c r="N11" s="45">
        <v>15</v>
      </c>
      <c r="O11" s="45">
        <v>15</v>
      </c>
      <c r="P11" s="122">
        <v>15</v>
      </c>
      <c r="Q11" s="95">
        <v>1500000000</v>
      </c>
      <c r="R11" s="96">
        <v>0.04</v>
      </c>
      <c r="S11" s="97">
        <f t="shared" si="0"/>
        <v>1500000000</v>
      </c>
      <c r="T11" s="97">
        <f t="shared" si="1"/>
        <v>1560000000</v>
      </c>
      <c r="U11" s="97">
        <f t="shared" si="2"/>
        <v>1622400000</v>
      </c>
      <c r="V11" s="97">
        <f t="shared" si="3"/>
        <v>1687296000</v>
      </c>
      <c r="W11" s="97">
        <f t="shared" si="4"/>
        <v>1754787840</v>
      </c>
      <c r="X11" s="97">
        <f t="shared" si="5"/>
        <v>1824979353.6000001</v>
      </c>
      <c r="Y11" s="97">
        <f t="shared" si="6"/>
        <v>1897978527.7440002</v>
      </c>
      <c r="Z11" s="98">
        <f t="shared" si="7"/>
        <v>11847441721.344</v>
      </c>
      <c r="AA11" s="152">
        <f>Z11</f>
        <v>11847441721.344</v>
      </c>
      <c r="AB11" s="188" t="s">
        <v>525</v>
      </c>
      <c r="AC11" s="70"/>
    </row>
    <row r="12" spans="1:29" s="14" customFormat="1" ht="114.75" customHeight="1" thickBot="1">
      <c r="A12" s="368"/>
      <c r="B12" s="247" t="s">
        <v>526</v>
      </c>
      <c r="C12" s="8" t="s">
        <v>527</v>
      </c>
      <c r="D12" s="8" t="s">
        <v>293</v>
      </c>
      <c r="E12" s="8" t="s">
        <v>119</v>
      </c>
      <c r="F12" s="247" t="s">
        <v>528</v>
      </c>
      <c r="G12" s="8" t="s">
        <v>113</v>
      </c>
      <c r="H12" s="8" t="s">
        <v>113</v>
      </c>
      <c r="I12" s="8" t="s">
        <v>529</v>
      </c>
      <c r="J12" s="8">
        <v>1</v>
      </c>
      <c r="K12" s="8">
        <v>1</v>
      </c>
      <c r="L12" s="8">
        <v>1</v>
      </c>
      <c r="M12" s="8">
        <v>1</v>
      </c>
      <c r="N12" s="8">
        <v>1</v>
      </c>
      <c r="O12" s="8">
        <v>1</v>
      </c>
      <c r="P12" s="125">
        <v>1</v>
      </c>
      <c r="Q12" s="130">
        <v>0</v>
      </c>
      <c r="R12" s="102">
        <v>0.04</v>
      </c>
      <c r="S12" s="103">
        <f t="shared" si="0"/>
        <v>0</v>
      </c>
      <c r="T12" s="103">
        <f t="shared" si="1"/>
        <v>0</v>
      </c>
      <c r="U12" s="103">
        <f t="shared" si="2"/>
        <v>0</v>
      </c>
      <c r="V12" s="103">
        <f t="shared" si="3"/>
        <v>0</v>
      </c>
      <c r="W12" s="103">
        <f t="shared" si="4"/>
        <v>0</v>
      </c>
      <c r="X12" s="103">
        <f t="shared" si="5"/>
        <v>0</v>
      </c>
      <c r="Y12" s="103">
        <f t="shared" si="6"/>
        <v>0</v>
      </c>
      <c r="Z12" s="104">
        <f t="shared" si="7"/>
        <v>0</v>
      </c>
      <c r="AA12" s="153">
        <f>Z12</f>
        <v>0</v>
      </c>
      <c r="AB12" s="189" t="s">
        <v>15</v>
      </c>
    </row>
    <row r="13" spans="1:29" s="14" customFormat="1" ht="90" customHeight="1">
      <c r="A13" s="348" t="s">
        <v>530</v>
      </c>
      <c r="B13" s="246" t="s">
        <v>531</v>
      </c>
      <c r="C13" s="11" t="s">
        <v>532</v>
      </c>
      <c r="D13" s="11" t="s">
        <v>124</v>
      </c>
      <c r="E13" s="11" t="s">
        <v>174</v>
      </c>
      <c r="F13" s="246" t="s">
        <v>533</v>
      </c>
      <c r="G13" s="11" t="s">
        <v>112</v>
      </c>
      <c r="H13" s="11" t="s">
        <v>113</v>
      </c>
      <c r="I13" s="11" t="s">
        <v>534</v>
      </c>
      <c r="J13" s="11">
        <v>3</v>
      </c>
      <c r="K13" s="11">
        <v>3</v>
      </c>
      <c r="L13" s="11">
        <v>4</v>
      </c>
      <c r="M13" s="11">
        <v>4</v>
      </c>
      <c r="N13" s="11">
        <v>4</v>
      </c>
      <c r="O13" s="11">
        <v>4</v>
      </c>
      <c r="P13" s="120">
        <v>4</v>
      </c>
      <c r="Q13" s="126">
        <v>400000000</v>
      </c>
      <c r="R13" s="127">
        <v>0.04</v>
      </c>
      <c r="S13" s="128">
        <f t="shared" si="0"/>
        <v>400000000</v>
      </c>
      <c r="T13" s="128">
        <f t="shared" si="1"/>
        <v>416000000</v>
      </c>
      <c r="U13" s="128">
        <f t="shared" si="2"/>
        <v>432640000</v>
      </c>
      <c r="V13" s="128">
        <f t="shared" si="3"/>
        <v>449945600</v>
      </c>
      <c r="W13" s="128">
        <f t="shared" si="4"/>
        <v>467943424</v>
      </c>
      <c r="X13" s="128">
        <f t="shared" si="5"/>
        <v>486661160.96000004</v>
      </c>
      <c r="Y13" s="128">
        <f t="shared" si="6"/>
        <v>506127607.39840007</v>
      </c>
      <c r="Z13" s="129">
        <f t="shared" si="7"/>
        <v>3159317792.3584003</v>
      </c>
      <c r="AA13" s="185">
        <f>Z13</f>
        <v>3159317792.3584003</v>
      </c>
      <c r="AB13" s="188" t="s">
        <v>525</v>
      </c>
      <c r="AC13" s="70"/>
    </row>
    <row r="14" spans="1:29" s="14" customFormat="1" ht="117" customHeight="1">
      <c r="A14" s="349"/>
      <c r="B14" s="381" t="s">
        <v>535</v>
      </c>
      <c r="C14" s="382" t="s">
        <v>515</v>
      </c>
      <c r="D14" s="379" t="s">
        <v>124</v>
      </c>
      <c r="E14" s="45" t="s">
        <v>119</v>
      </c>
      <c r="F14" s="232" t="s">
        <v>536</v>
      </c>
      <c r="G14" s="45" t="s">
        <v>112</v>
      </c>
      <c r="H14" s="45" t="s">
        <v>113</v>
      </c>
      <c r="I14" s="45" t="s">
        <v>517</v>
      </c>
      <c r="J14" s="45">
        <v>1</v>
      </c>
      <c r="K14" s="45">
        <v>1</v>
      </c>
      <c r="L14" s="45">
        <v>1</v>
      </c>
      <c r="M14" s="45">
        <v>1</v>
      </c>
      <c r="N14" s="45">
        <v>1</v>
      </c>
      <c r="O14" s="45">
        <v>1</v>
      </c>
      <c r="P14" s="122">
        <v>1</v>
      </c>
      <c r="Q14" s="95">
        <v>0</v>
      </c>
      <c r="R14" s="96">
        <v>0.04</v>
      </c>
      <c r="S14" s="97">
        <f t="shared" si="0"/>
        <v>0</v>
      </c>
      <c r="T14" s="97">
        <f t="shared" si="1"/>
        <v>0</v>
      </c>
      <c r="U14" s="97">
        <f t="shared" si="2"/>
        <v>0</v>
      </c>
      <c r="V14" s="97">
        <f t="shared" si="3"/>
        <v>0</v>
      </c>
      <c r="W14" s="97">
        <f t="shared" si="4"/>
        <v>0</v>
      </c>
      <c r="X14" s="97">
        <f t="shared" si="5"/>
        <v>0</v>
      </c>
      <c r="Y14" s="97">
        <f t="shared" si="6"/>
        <v>0</v>
      </c>
      <c r="Z14" s="98">
        <f t="shared" si="7"/>
        <v>0</v>
      </c>
      <c r="AA14" s="299">
        <f>SUM(Z14:Z15)</f>
        <v>78982944.808959991</v>
      </c>
      <c r="AB14" s="333" t="s">
        <v>8</v>
      </c>
      <c r="AC14" s="70"/>
    </row>
    <row r="15" spans="1:29" s="14" customFormat="1" ht="90.95" customHeight="1" thickBot="1">
      <c r="A15" s="368"/>
      <c r="B15" s="384"/>
      <c r="C15" s="385"/>
      <c r="D15" s="380"/>
      <c r="E15" s="8" t="s">
        <v>174</v>
      </c>
      <c r="F15" s="247" t="s">
        <v>537</v>
      </c>
      <c r="G15" s="8" t="s">
        <v>112</v>
      </c>
      <c r="H15" s="8" t="s">
        <v>140</v>
      </c>
      <c r="I15" s="8" t="s">
        <v>538</v>
      </c>
      <c r="J15" s="5">
        <v>0.8</v>
      </c>
      <c r="K15" s="44">
        <v>0.8</v>
      </c>
      <c r="L15" s="44">
        <v>0.9</v>
      </c>
      <c r="M15" s="44">
        <v>0.9</v>
      </c>
      <c r="N15" s="44">
        <v>0.9</v>
      </c>
      <c r="O15" s="44">
        <v>1</v>
      </c>
      <c r="P15" s="144">
        <v>1</v>
      </c>
      <c r="Q15" s="99">
        <v>10000000</v>
      </c>
      <c r="R15" s="100">
        <v>0.04</v>
      </c>
      <c r="S15" s="103">
        <f t="shared" si="0"/>
        <v>10000000</v>
      </c>
      <c r="T15" s="103">
        <f t="shared" si="1"/>
        <v>10400000</v>
      </c>
      <c r="U15" s="103">
        <f t="shared" si="2"/>
        <v>10816000</v>
      </c>
      <c r="V15" s="103">
        <f t="shared" si="3"/>
        <v>11248640</v>
      </c>
      <c r="W15" s="103">
        <f t="shared" si="4"/>
        <v>11698585.6</v>
      </c>
      <c r="X15" s="103">
        <f t="shared" si="5"/>
        <v>12166529.024</v>
      </c>
      <c r="Y15" s="103">
        <f t="shared" si="6"/>
        <v>12653190.18496</v>
      </c>
      <c r="Z15" s="101">
        <f t="shared" si="7"/>
        <v>78982944.808959991</v>
      </c>
      <c r="AA15" s="389"/>
      <c r="AB15" s="328"/>
    </row>
    <row r="16" spans="1:29" s="14" customFormat="1" ht="90" customHeight="1">
      <c r="A16" s="348" t="s">
        <v>539</v>
      </c>
      <c r="B16" s="386" t="s">
        <v>540</v>
      </c>
      <c r="C16" s="11" t="s">
        <v>541</v>
      </c>
      <c r="D16" s="400" t="s">
        <v>124</v>
      </c>
      <c r="E16" s="11" t="s">
        <v>119</v>
      </c>
      <c r="F16" s="246" t="s">
        <v>542</v>
      </c>
      <c r="G16" s="11" t="s">
        <v>113</v>
      </c>
      <c r="H16" s="11" t="s">
        <v>113</v>
      </c>
      <c r="I16" s="11" t="s">
        <v>543</v>
      </c>
      <c r="J16" s="11">
        <v>1</v>
      </c>
      <c r="K16" s="11">
        <v>0</v>
      </c>
      <c r="L16" s="11">
        <v>1</v>
      </c>
      <c r="M16" s="11">
        <v>0</v>
      </c>
      <c r="N16" s="11">
        <v>1</v>
      </c>
      <c r="O16" s="11">
        <v>0</v>
      </c>
      <c r="P16" s="120">
        <v>1</v>
      </c>
      <c r="Q16" s="92">
        <v>0</v>
      </c>
      <c r="R16" s="93">
        <v>0.04</v>
      </c>
      <c r="S16" s="128">
        <f t="shared" si="0"/>
        <v>0</v>
      </c>
      <c r="T16" s="128">
        <f t="shared" si="1"/>
        <v>0</v>
      </c>
      <c r="U16" s="128">
        <f t="shared" si="2"/>
        <v>0</v>
      </c>
      <c r="V16" s="128">
        <f t="shared" si="3"/>
        <v>0</v>
      </c>
      <c r="W16" s="128">
        <f t="shared" si="4"/>
        <v>0</v>
      </c>
      <c r="X16" s="128">
        <f t="shared" si="5"/>
        <v>0</v>
      </c>
      <c r="Y16" s="128">
        <f t="shared" si="6"/>
        <v>0</v>
      </c>
      <c r="Z16" s="94">
        <f t="shared" si="7"/>
        <v>0</v>
      </c>
      <c r="AA16" s="341">
        <f>SUM(Z16:Z24)</f>
        <v>482880613.66272002</v>
      </c>
      <c r="AB16" s="327" t="s">
        <v>13</v>
      </c>
    </row>
    <row r="17" spans="1:28" s="14" customFormat="1" ht="72" customHeight="1">
      <c r="A17" s="349"/>
      <c r="B17" s="381"/>
      <c r="C17" s="45" t="s">
        <v>532</v>
      </c>
      <c r="D17" s="401"/>
      <c r="E17" s="45" t="s">
        <v>174</v>
      </c>
      <c r="F17" s="232" t="s">
        <v>544</v>
      </c>
      <c r="G17" s="45" t="s">
        <v>113</v>
      </c>
      <c r="H17" s="45" t="s">
        <v>140</v>
      </c>
      <c r="I17" s="45" t="s">
        <v>545</v>
      </c>
      <c r="J17" s="45">
        <v>0</v>
      </c>
      <c r="K17" s="15">
        <v>0.5</v>
      </c>
      <c r="L17" s="15">
        <v>1</v>
      </c>
      <c r="M17" s="15">
        <v>0.5</v>
      </c>
      <c r="N17" s="34">
        <v>1</v>
      </c>
      <c r="O17" s="34">
        <v>0.5</v>
      </c>
      <c r="P17" s="143">
        <v>1</v>
      </c>
      <c r="Q17" s="99">
        <v>70000000</v>
      </c>
      <c r="R17" s="96">
        <v>0.04</v>
      </c>
      <c r="S17" s="97">
        <f t="shared" si="0"/>
        <v>0</v>
      </c>
      <c r="T17" s="97">
        <f t="shared" si="1"/>
        <v>72800000</v>
      </c>
      <c r="U17" s="97">
        <f t="shared" si="2"/>
        <v>75712000</v>
      </c>
      <c r="V17" s="97">
        <f t="shared" si="3"/>
        <v>78740480</v>
      </c>
      <c r="W17" s="97">
        <f t="shared" si="4"/>
        <v>81890099.200000003</v>
      </c>
      <c r="X17" s="97">
        <f t="shared" si="5"/>
        <v>85165703.168000013</v>
      </c>
      <c r="Y17" s="97">
        <f t="shared" si="6"/>
        <v>88572331.294720009</v>
      </c>
      <c r="Z17" s="98">
        <f t="shared" si="7"/>
        <v>482880613.66272002</v>
      </c>
      <c r="AA17" s="299"/>
      <c r="AB17" s="327"/>
    </row>
    <row r="18" spans="1:28" s="14" customFormat="1" ht="96" customHeight="1">
      <c r="A18" s="349"/>
      <c r="B18" s="381"/>
      <c r="C18" s="45" t="s">
        <v>546</v>
      </c>
      <c r="D18" s="401"/>
      <c r="E18" s="45" t="s">
        <v>174</v>
      </c>
      <c r="F18" s="232" t="s">
        <v>547</v>
      </c>
      <c r="G18" s="45" t="s">
        <v>112</v>
      </c>
      <c r="H18" s="45" t="s">
        <v>113</v>
      </c>
      <c r="I18" s="45" t="s">
        <v>548</v>
      </c>
      <c r="J18" s="45">
        <v>4750</v>
      </c>
      <c r="K18" s="45">
        <v>5000</v>
      </c>
      <c r="L18" s="45">
        <v>5250</v>
      </c>
      <c r="M18" s="45">
        <v>5500</v>
      </c>
      <c r="N18" s="46">
        <v>5750</v>
      </c>
      <c r="O18" s="46">
        <v>6000</v>
      </c>
      <c r="P18" s="145">
        <v>6250</v>
      </c>
      <c r="Q18" s="95">
        <v>0</v>
      </c>
      <c r="R18" s="96">
        <v>0.04</v>
      </c>
      <c r="S18" s="97">
        <f t="shared" si="0"/>
        <v>0</v>
      </c>
      <c r="T18" s="97">
        <f t="shared" si="1"/>
        <v>0</v>
      </c>
      <c r="U18" s="97">
        <f t="shared" si="2"/>
        <v>0</v>
      </c>
      <c r="V18" s="97">
        <f t="shared" si="3"/>
        <v>0</v>
      </c>
      <c r="W18" s="97">
        <f t="shared" si="4"/>
        <v>0</v>
      </c>
      <c r="X18" s="97">
        <f t="shared" si="5"/>
        <v>0</v>
      </c>
      <c r="Y18" s="97">
        <f t="shared" si="6"/>
        <v>0</v>
      </c>
      <c r="Z18" s="98">
        <f t="shared" si="7"/>
        <v>0</v>
      </c>
      <c r="AA18" s="299"/>
      <c r="AB18" s="327"/>
    </row>
    <row r="19" spans="1:28" s="14" customFormat="1" ht="65.25" customHeight="1">
      <c r="A19" s="349"/>
      <c r="B19" s="381"/>
      <c r="C19" s="45" t="s">
        <v>546</v>
      </c>
      <c r="D19" s="401"/>
      <c r="E19" s="45" t="s">
        <v>174</v>
      </c>
      <c r="F19" s="232" t="s">
        <v>549</v>
      </c>
      <c r="G19" s="45" t="s">
        <v>112</v>
      </c>
      <c r="H19" s="45" t="s">
        <v>113</v>
      </c>
      <c r="I19" s="45" t="s">
        <v>550</v>
      </c>
      <c r="J19" s="45">
        <v>5000</v>
      </c>
      <c r="K19" s="45">
        <v>5100</v>
      </c>
      <c r="L19" s="45">
        <v>5200</v>
      </c>
      <c r="M19" s="45">
        <v>5300</v>
      </c>
      <c r="N19" s="46">
        <v>5400</v>
      </c>
      <c r="O19" s="46">
        <v>5500</v>
      </c>
      <c r="P19" s="145">
        <v>5600</v>
      </c>
      <c r="Q19" s="95">
        <v>0</v>
      </c>
      <c r="R19" s="96">
        <v>0.04</v>
      </c>
      <c r="S19" s="97">
        <f t="shared" si="0"/>
        <v>0</v>
      </c>
      <c r="T19" s="97">
        <f t="shared" si="1"/>
        <v>0</v>
      </c>
      <c r="U19" s="97">
        <f t="shared" si="2"/>
        <v>0</v>
      </c>
      <c r="V19" s="97">
        <f t="shared" si="3"/>
        <v>0</v>
      </c>
      <c r="W19" s="97">
        <f t="shared" si="4"/>
        <v>0</v>
      </c>
      <c r="X19" s="97">
        <f t="shared" si="5"/>
        <v>0</v>
      </c>
      <c r="Y19" s="97">
        <f t="shared" si="6"/>
        <v>0</v>
      </c>
      <c r="Z19" s="98">
        <f t="shared" si="7"/>
        <v>0</v>
      </c>
      <c r="AA19" s="299"/>
      <c r="AB19" s="327"/>
    </row>
    <row r="20" spans="1:28" s="14" customFormat="1" ht="60.75" customHeight="1">
      <c r="A20" s="349"/>
      <c r="B20" s="381"/>
      <c r="C20" s="45" t="s">
        <v>546</v>
      </c>
      <c r="D20" s="401"/>
      <c r="E20" s="45" t="s">
        <v>174</v>
      </c>
      <c r="F20" s="232" t="s">
        <v>551</v>
      </c>
      <c r="G20" s="45" t="s">
        <v>112</v>
      </c>
      <c r="H20" s="45" t="s">
        <v>113</v>
      </c>
      <c r="I20" s="45" t="s">
        <v>552</v>
      </c>
      <c r="J20" s="45">
        <v>1100</v>
      </c>
      <c r="K20" s="45">
        <v>1200</v>
      </c>
      <c r="L20" s="45">
        <v>1300</v>
      </c>
      <c r="M20" s="45">
        <v>1400</v>
      </c>
      <c r="N20" s="46">
        <v>1500</v>
      </c>
      <c r="O20" s="46">
        <v>1600</v>
      </c>
      <c r="P20" s="145">
        <v>1700</v>
      </c>
      <c r="Q20" s="95">
        <v>0</v>
      </c>
      <c r="R20" s="96">
        <v>0.04</v>
      </c>
      <c r="S20" s="97">
        <f t="shared" si="0"/>
        <v>0</v>
      </c>
      <c r="T20" s="97">
        <f t="shared" si="1"/>
        <v>0</v>
      </c>
      <c r="U20" s="97">
        <f t="shared" si="2"/>
        <v>0</v>
      </c>
      <c r="V20" s="97">
        <f t="shared" si="3"/>
        <v>0</v>
      </c>
      <c r="W20" s="97">
        <f t="shared" si="4"/>
        <v>0</v>
      </c>
      <c r="X20" s="97">
        <f t="shared" si="5"/>
        <v>0</v>
      </c>
      <c r="Y20" s="97">
        <f t="shared" si="6"/>
        <v>0</v>
      </c>
      <c r="Z20" s="98">
        <f t="shared" si="7"/>
        <v>0</v>
      </c>
      <c r="AA20" s="299"/>
      <c r="AB20" s="327"/>
    </row>
    <row r="21" spans="1:28" s="14" customFormat="1" ht="55.5" customHeight="1">
      <c r="A21" s="349"/>
      <c r="B21" s="381"/>
      <c r="C21" s="45" t="s">
        <v>546</v>
      </c>
      <c r="D21" s="401"/>
      <c r="E21" s="45" t="s">
        <v>174</v>
      </c>
      <c r="F21" s="232" t="s">
        <v>553</v>
      </c>
      <c r="G21" s="45" t="s">
        <v>113</v>
      </c>
      <c r="H21" s="45" t="s">
        <v>113</v>
      </c>
      <c r="I21" s="45" t="s">
        <v>554</v>
      </c>
      <c r="J21" s="45">
        <v>45</v>
      </c>
      <c r="K21" s="45">
        <v>50</v>
      </c>
      <c r="L21" s="45">
        <v>55</v>
      </c>
      <c r="M21" s="45">
        <v>60</v>
      </c>
      <c r="N21" s="46">
        <v>65</v>
      </c>
      <c r="O21" s="46">
        <v>70</v>
      </c>
      <c r="P21" s="145">
        <v>75</v>
      </c>
      <c r="Q21" s="95">
        <v>0</v>
      </c>
      <c r="R21" s="96">
        <v>0.04</v>
      </c>
      <c r="S21" s="97">
        <f t="shared" si="0"/>
        <v>0</v>
      </c>
      <c r="T21" s="97">
        <f t="shared" si="1"/>
        <v>0</v>
      </c>
      <c r="U21" s="97">
        <f t="shared" si="2"/>
        <v>0</v>
      </c>
      <c r="V21" s="97">
        <f t="shared" si="3"/>
        <v>0</v>
      </c>
      <c r="W21" s="97">
        <f t="shared" si="4"/>
        <v>0</v>
      </c>
      <c r="X21" s="97">
        <f t="shared" si="5"/>
        <v>0</v>
      </c>
      <c r="Y21" s="97">
        <f t="shared" si="6"/>
        <v>0</v>
      </c>
      <c r="Z21" s="98">
        <f t="shared" si="7"/>
        <v>0</v>
      </c>
      <c r="AA21" s="299"/>
      <c r="AB21" s="327"/>
    </row>
    <row r="22" spans="1:28" s="14" customFormat="1" ht="81.75" customHeight="1">
      <c r="A22" s="349"/>
      <c r="B22" s="381"/>
      <c r="C22" s="45" t="s">
        <v>546</v>
      </c>
      <c r="D22" s="401"/>
      <c r="E22" s="45" t="s">
        <v>174</v>
      </c>
      <c r="F22" s="232" t="s">
        <v>555</v>
      </c>
      <c r="G22" s="45" t="s">
        <v>113</v>
      </c>
      <c r="H22" s="45" t="s">
        <v>113</v>
      </c>
      <c r="I22" s="34" t="s">
        <v>556</v>
      </c>
      <c r="J22" s="15">
        <v>0.45</v>
      </c>
      <c r="K22" s="15">
        <v>0.5</v>
      </c>
      <c r="L22" s="15">
        <v>0.55000000000000004</v>
      </c>
      <c r="M22" s="15">
        <v>0.6</v>
      </c>
      <c r="N22" s="15">
        <v>0.6</v>
      </c>
      <c r="O22" s="15">
        <v>0.6</v>
      </c>
      <c r="P22" s="108">
        <v>0.6</v>
      </c>
      <c r="Q22" s="95">
        <v>0</v>
      </c>
      <c r="R22" s="96">
        <v>0.04</v>
      </c>
      <c r="S22" s="97">
        <f t="shared" si="0"/>
        <v>0</v>
      </c>
      <c r="T22" s="97">
        <f t="shared" si="1"/>
        <v>0</v>
      </c>
      <c r="U22" s="97">
        <f t="shared" si="2"/>
        <v>0</v>
      </c>
      <c r="V22" s="97">
        <f t="shared" si="3"/>
        <v>0</v>
      </c>
      <c r="W22" s="97">
        <f t="shared" si="4"/>
        <v>0</v>
      </c>
      <c r="X22" s="97">
        <f t="shared" si="5"/>
        <v>0</v>
      </c>
      <c r="Y22" s="97">
        <f t="shared" si="6"/>
        <v>0</v>
      </c>
      <c r="Z22" s="98">
        <f t="shared" si="7"/>
        <v>0</v>
      </c>
      <c r="AA22" s="299"/>
      <c r="AB22" s="327"/>
    </row>
    <row r="23" spans="1:28" s="14" customFormat="1" ht="51.75" customHeight="1">
      <c r="A23" s="349"/>
      <c r="B23" s="381"/>
      <c r="C23" s="45" t="s">
        <v>546</v>
      </c>
      <c r="D23" s="401"/>
      <c r="E23" s="45" t="s">
        <v>174</v>
      </c>
      <c r="F23" s="232" t="s">
        <v>557</v>
      </c>
      <c r="G23" s="45" t="s">
        <v>113</v>
      </c>
      <c r="H23" s="45" t="s">
        <v>113</v>
      </c>
      <c r="I23" s="34" t="s">
        <v>558</v>
      </c>
      <c r="J23" s="15">
        <v>0.45</v>
      </c>
      <c r="K23" s="15">
        <v>0.5</v>
      </c>
      <c r="L23" s="15">
        <v>0.55000000000000004</v>
      </c>
      <c r="M23" s="15">
        <v>0.6</v>
      </c>
      <c r="N23" s="15">
        <v>0.6</v>
      </c>
      <c r="O23" s="15">
        <v>0.6</v>
      </c>
      <c r="P23" s="108">
        <v>0.6</v>
      </c>
      <c r="Q23" s="95">
        <v>0</v>
      </c>
      <c r="R23" s="96">
        <v>0.04</v>
      </c>
      <c r="S23" s="97">
        <f t="shared" si="0"/>
        <v>0</v>
      </c>
      <c r="T23" s="97">
        <f t="shared" si="1"/>
        <v>0</v>
      </c>
      <c r="U23" s="97">
        <f t="shared" si="2"/>
        <v>0</v>
      </c>
      <c r="V23" s="97">
        <f t="shared" si="3"/>
        <v>0</v>
      </c>
      <c r="W23" s="97">
        <f t="shared" si="4"/>
        <v>0</v>
      </c>
      <c r="X23" s="97">
        <f t="shared" si="5"/>
        <v>0</v>
      </c>
      <c r="Y23" s="97">
        <f t="shared" si="6"/>
        <v>0</v>
      </c>
      <c r="Z23" s="98">
        <f t="shared" si="7"/>
        <v>0</v>
      </c>
      <c r="AA23" s="299"/>
      <c r="AB23" s="327"/>
    </row>
    <row r="24" spans="1:28" s="14" customFormat="1" ht="66.75" customHeight="1">
      <c r="A24" s="349"/>
      <c r="B24" s="381"/>
      <c r="C24" s="45" t="s">
        <v>546</v>
      </c>
      <c r="D24" s="402"/>
      <c r="E24" s="45" t="s">
        <v>174</v>
      </c>
      <c r="F24" s="232" t="s">
        <v>559</v>
      </c>
      <c r="G24" s="45" t="s">
        <v>113</v>
      </c>
      <c r="H24" s="45" t="s">
        <v>140</v>
      </c>
      <c r="I24" s="45" t="s">
        <v>560</v>
      </c>
      <c r="J24" s="15">
        <v>0.1</v>
      </c>
      <c r="K24" s="15">
        <v>0.2</v>
      </c>
      <c r="L24" s="15">
        <v>0.3</v>
      </c>
      <c r="M24" s="15">
        <v>0.4</v>
      </c>
      <c r="N24" s="15">
        <v>0.5</v>
      </c>
      <c r="O24" s="15">
        <v>0.6</v>
      </c>
      <c r="P24" s="108">
        <v>0.7</v>
      </c>
      <c r="Q24" s="95">
        <v>0</v>
      </c>
      <c r="R24" s="96">
        <v>0.04</v>
      </c>
      <c r="S24" s="97">
        <f t="shared" si="0"/>
        <v>0</v>
      </c>
      <c r="T24" s="97">
        <f t="shared" si="1"/>
        <v>0</v>
      </c>
      <c r="U24" s="97">
        <f t="shared" si="2"/>
        <v>0</v>
      </c>
      <c r="V24" s="97">
        <f t="shared" si="3"/>
        <v>0</v>
      </c>
      <c r="W24" s="97">
        <f t="shared" si="4"/>
        <v>0</v>
      </c>
      <c r="X24" s="97">
        <f t="shared" si="5"/>
        <v>0</v>
      </c>
      <c r="Y24" s="97">
        <f t="shared" si="6"/>
        <v>0</v>
      </c>
      <c r="Z24" s="98">
        <f t="shared" si="7"/>
        <v>0</v>
      </c>
      <c r="AA24" s="299"/>
      <c r="AB24" s="332"/>
    </row>
    <row r="25" spans="1:28" s="14" customFormat="1" ht="112.5" customHeight="1">
      <c r="A25" s="349"/>
      <c r="B25" s="381" t="s">
        <v>561</v>
      </c>
      <c r="C25" s="45" t="s">
        <v>562</v>
      </c>
      <c r="D25" s="379" t="s">
        <v>274</v>
      </c>
      <c r="E25" s="45" t="s">
        <v>119</v>
      </c>
      <c r="F25" s="232" t="s">
        <v>563</v>
      </c>
      <c r="G25" s="45" t="s">
        <v>113</v>
      </c>
      <c r="H25" s="45" t="s">
        <v>113</v>
      </c>
      <c r="I25" s="45" t="s">
        <v>564</v>
      </c>
      <c r="J25" s="45">
        <v>1</v>
      </c>
      <c r="K25" s="45">
        <v>0</v>
      </c>
      <c r="L25" s="45">
        <v>0</v>
      </c>
      <c r="M25" s="45">
        <v>0</v>
      </c>
      <c r="N25" s="45">
        <v>0</v>
      </c>
      <c r="O25" s="45">
        <v>0</v>
      </c>
      <c r="P25" s="122">
        <v>0</v>
      </c>
      <c r="Q25" s="95">
        <v>0</v>
      </c>
      <c r="R25" s="96">
        <v>0.04</v>
      </c>
      <c r="S25" s="97">
        <f t="shared" si="0"/>
        <v>0</v>
      </c>
      <c r="T25" s="97">
        <f t="shared" si="1"/>
        <v>0</v>
      </c>
      <c r="U25" s="97">
        <f t="shared" si="2"/>
        <v>0</v>
      </c>
      <c r="V25" s="97">
        <f t="shared" si="3"/>
        <v>0</v>
      </c>
      <c r="W25" s="97">
        <f t="shared" si="4"/>
        <v>0</v>
      </c>
      <c r="X25" s="97">
        <f t="shared" si="5"/>
        <v>0</v>
      </c>
      <c r="Y25" s="97">
        <f t="shared" si="6"/>
        <v>0</v>
      </c>
      <c r="Z25" s="98">
        <f t="shared" si="7"/>
        <v>0</v>
      </c>
      <c r="AA25" s="299">
        <f>SUM(Z25:Z26)</f>
        <v>413897668.85376</v>
      </c>
      <c r="AB25" s="333" t="s">
        <v>9</v>
      </c>
    </row>
    <row r="26" spans="1:28" s="14" customFormat="1" ht="105.75" customHeight="1">
      <c r="A26" s="349"/>
      <c r="B26" s="381"/>
      <c r="C26" s="45" t="s">
        <v>565</v>
      </c>
      <c r="D26" s="402"/>
      <c r="E26" s="45" t="s">
        <v>119</v>
      </c>
      <c r="F26" s="232" t="s">
        <v>566</v>
      </c>
      <c r="G26" s="45" t="s">
        <v>112</v>
      </c>
      <c r="H26" s="45" t="s">
        <v>140</v>
      </c>
      <c r="I26" s="45" t="s">
        <v>567</v>
      </c>
      <c r="J26" s="45">
        <v>0</v>
      </c>
      <c r="K26" s="15">
        <v>1</v>
      </c>
      <c r="L26" s="15">
        <v>1</v>
      </c>
      <c r="M26" s="15">
        <v>1</v>
      </c>
      <c r="N26" s="15">
        <v>1</v>
      </c>
      <c r="O26" s="15">
        <v>1</v>
      </c>
      <c r="P26" s="108">
        <v>1</v>
      </c>
      <c r="Q26" s="95">
        <v>60000000</v>
      </c>
      <c r="R26" s="96">
        <v>0.04</v>
      </c>
      <c r="S26" s="97">
        <f t="shared" si="0"/>
        <v>0</v>
      </c>
      <c r="T26" s="97">
        <f t="shared" si="1"/>
        <v>62400000</v>
      </c>
      <c r="U26" s="97">
        <f t="shared" si="2"/>
        <v>64896000</v>
      </c>
      <c r="V26" s="97">
        <f t="shared" si="3"/>
        <v>67491840</v>
      </c>
      <c r="W26" s="97">
        <f t="shared" si="4"/>
        <v>70191513.600000009</v>
      </c>
      <c r="X26" s="97">
        <f t="shared" si="5"/>
        <v>72999174.144000009</v>
      </c>
      <c r="Y26" s="97">
        <f t="shared" si="6"/>
        <v>75919141.109760016</v>
      </c>
      <c r="Z26" s="98">
        <f t="shared" si="7"/>
        <v>413897668.85376</v>
      </c>
      <c r="AA26" s="299"/>
      <c r="AB26" s="332"/>
    </row>
    <row r="27" spans="1:28" s="14" customFormat="1" ht="87" customHeight="1" thickBot="1">
      <c r="A27" s="368"/>
      <c r="B27" s="247" t="s">
        <v>568</v>
      </c>
      <c r="C27" s="8" t="s">
        <v>569</v>
      </c>
      <c r="D27" s="8" t="s">
        <v>274</v>
      </c>
      <c r="E27" s="8" t="s">
        <v>174</v>
      </c>
      <c r="F27" s="247" t="s">
        <v>570</v>
      </c>
      <c r="G27" s="8" t="s">
        <v>112</v>
      </c>
      <c r="H27" s="8" t="s">
        <v>113</v>
      </c>
      <c r="I27" s="8" t="s">
        <v>571</v>
      </c>
      <c r="J27" s="8">
        <v>3</v>
      </c>
      <c r="K27" s="8">
        <v>3</v>
      </c>
      <c r="L27" s="8">
        <v>3</v>
      </c>
      <c r="M27" s="8">
        <v>4</v>
      </c>
      <c r="N27" s="8">
        <v>4</v>
      </c>
      <c r="O27" s="8">
        <v>4</v>
      </c>
      <c r="P27" s="125">
        <v>4</v>
      </c>
      <c r="Q27" s="130">
        <v>0</v>
      </c>
      <c r="R27" s="102">
        <v>0.04</v>
      </c>
      <c r="S27" s="103">
        <f t="shared" si="0"/>
        <v>0</v>
      </c>
      <c r="T27" s="103">
        <f t="shared" si="1"/>
        <v>0</v>
      </c>
      <c r="U27" s="103">
        <f t="shared" si="2"/>
        <v>0</v>
      </c>
      <c r="V27" s="103">
        <f t="shared" si="3"/>
        <v>0</v>
      </c>
      <c r="W27" s="103">
        <f t="shared" si="4"/>
        <v>0</v>
      </c>
      <c r="X27" s="103">
        <f t="shared" si="5"/>
        <v>0</v>
      </c>
      <c r="Y27" s="103">
        <f t="shared" si="6"/>
        <v>0</v>
      </c>
      <c r="Z27" s="104">
        <f t="shared" si="7"/>
        <v>0</v>
      </c>
      <c r="AA27" s="192">
        <f>Z27</f>
        <v>0</v>
      </c>
      <c r="AB27" s="189" t="s">
        <v>15</v>
      </c>
    </row>
    <row r="28" spans="1:28">
      <c r="A28" s="14"/>
      <c r="B28" s="14"/>
      <c r="C28" s="14"/>
      <c r="D28" s="14"/>
      <c r="E28" s="14"/>
      <c r="F28" s="14"/>
      <c r="G28" s="14"/>
      <c r="H28" s="14"/>
      <c r="I28" s="14"/>
      <c r="J28" s="14"/>
      <c r="K28" s="14"/>
      <c r="L28" s="14"/>
      <c r="M28" s="14"/>
      <c r="N28" s="14"/>
      <c r="O28" s="14"/>
      <c r="P28" s="14"/>
    </row>
    <row r="29" spans="1:28">
      <c r="A29" s="363"/>
      <c r="B29" s="363"/>
      <c r="C29" s="363"/>
      <c r="D29" s="363"/>
      <c r="E29" s="363"/>
      <c r="F29" s="363"/>
      <c r="G29" s="363"/>
      <c r="H29" s="363"/>
      <c r="I29" s="363"/>
      <c r="J29" s="363"/>
      <c r="K29" s="363"/>
      <c r="L29" s="363"/>
      <c r="M29" s="363"/>
      <c r="N29" s="363"/>
      <c r="O29" s="363"/>
      <c r="P29" s="363"/>
    </row>
  </sheetData>
  <sheetProtection algorithmName="SHA-512" hashValue="q+VT0qC4EYfPoRj5TsTrcP51mQZ2dRDuwbm/FrmqnqdRcTNRLERNCVphu2/fmQC0D45Pk6JYhfQ4V03SSDkX1Q==" saltValue="39rQ9/gOpwqduZgJqqS4gQ==" spinCount="100000" sheet="1" objects="1" scenarios="1"/>
  <mergeCells count="42">
    <mergeCell ref="A1:P1"/>
    <mergeCell ref="B3:B4"/>
    <mergeCell ref="A13:A15"/>
    <mergeCell ref="B14:B15"/>
    <mergeCell ref="C14:C15"/>
    <mergeCell ref="A7:A8"/>
    <mergeCell ref="A3:A4"/>
    <mergeCell ref="J3:P3"/>
    <mergeCell ref="C3:C4"/>
    <mergeCell ref="D3:D4"/>
    <mergeCell ref="E3:E4"/>
    <mergeCell ref="D14:D15"/>
    <mergeCell ref="A2:P2"/>
    <mergeCell ref="D9:D10"/>
    <mergeCell ref="A29:P29"/>
    <mergeCell ref="F3:F4"/>
    <mergeCell ref="G3:G4"/>
    <mergeCell ref="H3:H4"/>
    <mergeCell ref="I3:I4"/>
    <mergeCell ref="A5:A6"/>
    <mergeCell ref="A9:A12"/>
    <mergeCell ref="B9:B10"/>
    <mergeCell ref="C9:C10"/>
    <mergeCell ref="A16:A27"/>
    <mergeCell ref="B16:B24"/>
    <mergeCell ref="B25:B26"/>
    <mergeCell ref="D16:D24"/>
    <mergeCell ref="D25:D26"/>
    <mergeCell ref="AA9:AA10"/>
    <mergeCell ref="AA14:AA15"/>
    <mergeCell ref="AA16:AA24"/>
    <mergeCell ref="AA25:AA26"/>
    <mergeCell ref="Q3:Q4"/>
    <mergeCell ref="R3:R4"/>
    <mergeCell ref="S3:Y3"/>
    <mergeCell ref="Z3:Z4"/>
    <mergeCell ref="AA3:AA4"/>
    <mergeCell ref="AB25:AB26"/>
    <mergeCell ref="AB9:AB10"/>
    <mergeCell ref="AB14:AB15"/>
    <mergeCell ref="AB16:AB24"/>
    <mergeCell ref="AB3:AB4"/>
  </mergeCells>
  <pageMargins left="0.7" right="0.7" top="0.75" bottom="0.75" header="0.3" footer="0.3"/>
  <pageSetup orientation="portrait" horizontalDpi="1200" verticalDpi="1200" r:id="rId1"/>
  <ignoredErrors>
    <ignoredError sqref="Z27 AA9:AA12 Z10:Z11 Z5:AA5 AA13:AA16 Z12 Z13 Z14 Z15 Z16 Z17 Z18 Z19 Z20 Z21 Z22 Z23 Z24 Z25 Z26 T5:Y5 T10:Y11 T13:Y13 T15:Y15 T17:Y22 T23:Y24"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Hoja2!$A$1:$A$3</xm:f>
          </x14:formula1>
          <xm:sqref>E5:E27</xm:sqref>
        </x14:dataValidation>
        <x14:dataValidation type="list" allowBlank="1" showInputMessage="1" showErrorMessage="1" xr:uid="{00000000-0002-0000-0900-000001000000}">
          <x14:formula1>
            <xm:f>Hoja2!$C$15:$C$17</xm:f>
          </x14:formula1>
          <xm:sqref>G5:G27</xm:sqref>
        </x14:dataValidation>
        <x14:dataValidation type="list" allowBlank="1" showInputMessage="1" showErrorMessage="1" xr:uid="{00000000-0002-0000-0900-000002000000}">
          <x14:formula1>
            <xm:f>Hoja2!$E$15:$E$26</xm:f>
          </x14:formula1>
          <xm:sqref>AB5:AB27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23"/>
  <sheetViews>
    <sheetView zoomScale="80" zoomScaleNormal="80" zoomScalePageLayoutView="50" workbookViewId="0">
      <selection activeCell="F15" sqref="F15"/>
    </sheetView>
  </sheetViews>
  <sheetFormatPr defaultColWidth="11" defaultRowHeight="15.75"/>
  <cols>
    <col min="1" max="1" width="28.125" customWidth="1"/>
    <col min="2" max="2" width="52.875" customWidth="1"/>
    <col min="3" max="3" width="22.125" customWidth="1"/>
    <col min="5" max="5" width="13.5" customWidth="1"/>
    <col min="6" max="6" width="31.125" customWidth="1"/>
    <col min="7" max="7" width="14.875" customWidth="1"/>
    <col min="8" max="8" width="19.375" customWidth="1"/>
    <col min="9" max="9" width="28.375" style="59" customWidth="1"/>
    <col min="10" max="16" width="6.375" customWidth="1"/>
    <col min="17" max="17" width="18.125" style="105" customWidth="1"/>
    <col min="18" max="18" width="7.875" customWidth="1"/>
    <col min="19" max="25" width="16.125" customWidth="1"/>
    <col min="26" max="27" width="23.625" customWidth="1"/>
    <col min="28" max="28" width="27.625" customWidth="1"/>
  </cols>
  <sheetData>
    <row r="1" spans="1:28" ht="32.1" customHeight="1">
      <c r="A1" s="347" t="s">
        <v>91</v>
      </c>
      <c r="B1" s="347"/>
      <c r="C1" s="347"/>
      <c r="D1" s="347"/>
      <c r="E1" s="347"/>
      <c r="F1" s="347"/>
      <c r="G1" s="347"/>
      <c r="H1" s="347"/>
      <c r="I1" s="347"/>
      <c r="J1" s="347"/>
      <c r="K1" s="347"/>
      <c r="L1" s="347"/>
      <c r="M1" s="347"/>
      <c r="N1" s="347"/>
      <c r="O1" s="347"/>
      <c r="P1" s="347"/>
    </row>
    <row r="2" spans="1:28" ht="16.5" thickBot="1">
      <c r="A2" s="345"/>
      <c r="B2" s="345"/>
      <c r="C2" s="345"/>
      <c r="D2" s="345"/>
      <c r="E2" s="345"/>
      <c r="F2" s="345"/>
      <c r="G2" s="345"/>
      <c r="H2" s="345"/>
      <c r="I2" s="345"/>
      <c r="J2" s="345"/>
      <c r="K2" s="345"/>
      <c r="L2" s="345"/>
      <c r="M2" s="345"/>
      <c r="N2" s="345"/>
      <c r="O2" s="345"/>
      <c r="P2" s="346"/>
      <c r="R2" s="224">
        <f>R5+1</f>
        <v>1.04</v>
      </c>
    </row>
    <row r="3" spans="1:28" ht="22.5" customHeight="1">
      <c r="A3" s="362" t="s">
        <v>92</v>
      </c>
      <c r="B3" s="324" t="s">
        <v>93</v>
      </c>
      <c r="C3" s="324" t="s">
        <v>94</v>
      </c>
      <c r="D3" s="324" t="s">
        <v>35</v>
      </c>
      <c r="E3" s="324" t="s">
        <v>95</v>
      </c>
      <c r="F3" s="324" t="s">
        <v>96</v>
      </c>
      <c r="G3" s="324" t="s">
        <v>97</v>
      </c>
      <c r="H3" s="324" t="s">
        <v>98</v>
      </c>
      <c r="I3" s="324" t="s">
        <v>99</v>
      </c>
      <c r="J3" s="420" t="s">
        <v>100</v>
      </c>
      <c r="K3" s="421"/>
      <c r="L3" s="421"/>
      <c r="M3" s="421"/>
      <c r="N3" s="421"/>
      <c r="O3" s="421"/>
      <c r="P3" s="422"/>
      <c r="Q3" s="334" t="s">
        <v>101</v>
      </c>
      <c r="R3" s="336" t="s">
        <v>102</v>
      </c>
      <c r="S3" s="338" t="s">
        <v>103</v>
      </c>
      <c r="T3" s="338"/>
      <c r="U3" s="338"/>
      <c r="V3" s="338"/>
      <c r="W3" s="338"/>
      <c r="X3" s="338"/>
      <c r="Y3" s="392"/>
      <c r="Z3" s="339" t="s">
        <v>104</v>
      </c>
      <c r="AA3" s="394" t="s">
        <v>105</v>
      </c>
      <c r="AB3" s="377" t="s">
        <v>2</v>
      </c>
    </row>
    <row r="4" spans="1:28" ht="22.5" customHeight="1" thickBot="1">
      <c r="A4" s="423"/>
      <c r="B4" s="325"/>
      <c r="C4" s="325"/>
      <c r="D4" s="325"/>
      <c r="E4" s="325"/>
      <c r="F4" s="325"/>
      <c r="G4" s="325"/>
      <c r="H4" s="325"/>
      <c r="I4" s="325"/>
      <c r="J4" s="1">
        <v>2021</v>
      </c>
      <c r="K4" s="1">
        <v>2022</v>
      </c>
      <c r="L4" s="1">
        <v>2023</v>
      </c>
      <c r="M4" s="1">
        <v>2024</v>
      </c>
      <c r="N4" s="1">
        <v>2025</v>
      </c>
      <c r="O4" s="1">
        <v>2026</v>
      </c>
      <c r="P4" s="1">
        <v>2027</v>
      </c>
      <c r="Q4" s="390"/>
      <c r="R4" s="391"/>
      <c r="S4" s="90">
        <v>2021</v>
      </c>
      <c r="T4" s="90">
        <v>2022</v>
      </c>
      <c r="U4" s="90">
        <v>2023</v>
      </c>
      <c r="V4" s="90">
        <v>2024</v>
      </c>
      <c r="W4" s="90">
        <v>2025</v>
      </c>
      <c r="X4" s="90">
        <v>2026</v>
      </c>
      <c r="Y4" s="91">
        <v>2027</v>
      </c>
      <c r="Z4" s="393"/>
      <c r="AA4" s="395"/>
      <c r="AB4" s="378"/>
    </row>
    <row r="5" spans="1:28" s="14" customFormat="1" ht="59.25" customHeight="1">
      <c r="A5" s="397" t="s">
        <v>572</v>
      </c>
      <c r="B5" s="386" t="s">
        <v>573</v>
      </c>
      <c r="C5" s="387" t="s">
        <v>574</v>
      </c>
      <c r="D5" s="400" t="s">
        <v>109</v>
      </c>
      <c r="E5" s="11" t="s">
        <v>119</v>
      </c>
      <c r="F5" s="238" t="s">
        <v>575</v>
      </c>
      <c r="G5" s="17" t="s">
        <v>113</v>
      </c>
      <c r="H5" s="11" t="s">
        <v>113</v>
      </c>
      <c r="I5" s="17">
        <v>0</v>
      </c>
      <c r="J5" s="11">
        <v>1</v>
      </c>
      <c r="K5" s="11">
        <v>0</v>
      </c>
      <c r="L5" s="11">
        <v>0</v>
      </c>
      <c r="M5" s="11">
        <v>0</v>
      </c>
      <c r="N5" s="11">
        <v>0</v>
      </c>
      <c r="O5" s="11">
        <v>0</v>
      </c>
      <c r="P5" s="120">
        <v>0</v>
      </c>
      <c r="Q5" s="92">
        <v>0</v>
      </c>
      <c r="R5" s="93">
        <v>0.04</v>
      </c>
      <c r="S5" s="97">
        <f t="shared" ref="S5:S17" si="0">IF(J5&lt;&gt;0,Q5,0)</f>
        <v>0</v>
      </c>
      <c r="T5" s="97">
        <f t="shared" ref="T5:T17" si="1">IF(K5&lt;&gt;0,(IF(S5&lt;&gt;0,(S5*$R$2),($Q5*$R$2))),0)</f>
        <v>0</v>
      </c>
      <c r="U5" s="97">
        <f t="shared" ref="U5:U17" si="2">IF(L5&lt;&gt;0,(IF(T5&lt;&gt;0,(T5*$R$2),(($Q5*$R$2)*$R$2))),0)</f>
        <v>0</v>
      </c>
      <c r="V5" s="97">
        <f t="shared" ref="V5:V17" si="3">IF(M5&lt;&gt;0,(IF(U5&lt;&gt;0,(U5*$R$2),(($Q5*$R$2)*$R$2*$R$2))),0)</f>
        <v>0</v>
      </c>
      <c r="W5" s="97">
        <f t="shared" ref="W5:W17" si="4">IF(N5&lt;&gt;0,(IF(V5&lt;&gt;0,(V5*$R$2),(($Q5*$R$2)*$R$2*$R$2*$R$2))),0)</f>
        <v>0</v>
      </c>
      <c r="X5" s="97">
        <f t="shared" ref="X5:X17" si="5">IF(O5&lt;&gt;0,(IF(W5&lt;&gt;0,(W5*$R$2),(($Q5*$R$2)*$R$2*$R$2*$R$2*$R$2))),0)</f>
        <v>0</v>
      </c>
      <c r="Y5" s="97">
        <f t="shared" ref="Y5:Y17" si="6">IF(P5&lt;&gt;0,(IF(X5&lt;&gt;0,(X5*$R$2),(($Q5*$R$2)*$R$2*$R$2*$R$2*$R$2*$R$2))),0)</f>
        <v>0</v>
      </c>
      <c r="Z5" s="94">
        <f>SUM(S5:Y5)</f>
        <v>0</v>
      </c>
      <c r="AA5" s="341">
        <f>SUM(Z5:Z6)</f>
        <v>0</v>
      </c>
      <c r="AB5" s="418" t="s">
        <v>15</v>
      </c>
    </row>
    <row r="6" spans="1:28" s="14" customFormat="1" ht="90.75" customHeight="1">
      <c r="A6" s="399"/>
      <c r="B6" s="381"/>
      <c r="C6" s="382"/>
      <c r="D6" s="402"/>
      <c r="E6" s="71" t="s">
        <v>174</v>
      </c>
      <c r="F6" s="234" t="s">
        <v>576</v>
      </c>
      <c r="G6" s="45" t="s">
        <v>112</v>
      </c>
      <c r="H6" s="45" t="s">
        <v>140</v>
      </c>
      <c r="I6" s="31" t="s">
        <v>577</v>
      </c>
      <c r="J6" s="45">
        <v>0</v>
      </c>
      <c r="K6" s="15">
        <v>0.3</v>
      </c>
      <c r="L6" s="15">
        <v>0.6</v>
      </c>
      <c r="M6" s="15">
        <v>1</v>
      </c>
      <c r="N6" s="15">
        <v>1</v>
      </c>
      <c r="O6" s="15">
        <v>1</v>
      </c>
      <c r="P6" s="108">
        <v>1</v>
      </c>
      <c r="Q6" s="95">
        <v>0</v>
      </c>
      <c r="R6" s="96">
        <v>0.04</v>
      </c>
      <c r="S6" s="97">
        <f t="shared" si="0"/>
        <v>0</v>
      </c>
      <c r="T6" s="97">
        <f t="shared" si="1"/>
        <v>0</v>
      </c>
      <c r="U6" s="97">
        <f t="shared" si="2"/>
        <v>0</v>
      </c>
      <c r="V6" s="97">
        <f t="shared" si="3"/>
        <v>0</v>
      </c>
      <c r="W6" s="97">
        <f t="shared" si="4"/>
        <v>0</v>
      </c>
      <c r="X6" s="97">
        <f t="shared" si="5"/>
        <v>0</v>
      </c>
      <c r="Y6" s="97">
        <f t="shared" si="6"/>
        <v>0</v>
      </c>
      <c r="Z6" s="98">
        <f t="shared" ref="Z6:Z15" si="7">SUM(S6:Y6)</f>
        <v>0</v>
      </c>
      <c r="AA6" s="299"/>
      <c r="AB6" s="418"/>
    </row>
    <row r="7" spans="1:28" s="14" customFormat="1" ht="124.5" customHeight="1">
      <c r="A7" s="399"/>
      <c r="B7" s="381" t="s">
        <v>578</v>
      </c>
      <c r="C7" s="382" t="s">
        <v>579</v>
      </c>
      <c r="D7" s="379" t="s">
        <v>285</v>
      </c>
      <c r="E7" s="45" t="s">
        <v>119</v>
      </c>
      <c r="F7" s="232" t="s">
        <v>580</v>
      </c>
      <c r="G7" s="45" t="s">
        <v>113</v>
      </c>
      <c r="H7" s="45" t="s">
        <v>113</v>
      </c>
      <c r="I7" s="31" t="s">
        <v>581</v>
      </c>
      <c r="J7" s="45">
        <v>1</v>
      </c>
      <c r="K7" s="45">
        <v>0</v>
      </c>
      <c r="L7" s="45">
        <v>0</v>
      </c>
      <c r="M7" s="45">
        <v>0</v>
      </c>
      <c r="N7" s="45">
        <v>0</v>
      </c>
      <c r="O7" s="45">
        <v>0</v>
      </c>
      <c r="P7" s="122">
        <v>0</v>
      </c>
      <c r="Q7" s="95">
        <v>0</v>
      </c>
      <c r="R7" s="96">
        <v>0.04</v>
      </c>
      <c r="S7" s="97">
        <f t="shared" si="0"/>
        <v>0</v>
      </c>
      <c r="T7" s="97">
        <f t="shared" si="1"/>
        <v>0</v>
      </c>
      <c r="U7" s="97">
        <f t="shared" si="2"/>
        <v>0</v>
      </c>
      <c r="V7" s="97">
        <f t="shared" si="3"/>
        <v>0</v>
      </c>
      <c r="W7" s="97">
        <f t="shared" si="4"/>
        <v>0</v>
      </c>
      <c r="X7" s="97">
        <f t="shared" si="5"/>
        <v>0</v>
      </c>
      <c r="Y7" s="97">
        <f t="shared" si="6"/>
        <v>0</v>
      </c>
      <c r="Z7" s="98">
        <f t="shared" si="7"/>
        <v>0</v>
      </c>
      <c r="AA7" s="299">
        <f>SUM(Z7:Z8)</f>
        <v>551863558.47167993</v>
      </c>
      <c r="AB7" s="418" t="s">
        <v>12</v>
      </c>
    </row>
    <row r="8" spans="1:28" s="14" customFormat="1" ht="79.5" customHeight="1" thickBot="1">
      <c r="A8" s="398"/>
      <c r="B8" s="383"/>
      <c r="C8" s="379"/>
      <c r="D8" s="380"/>
      <c r="E8" s="72" t="s">
        <v>174</v>
      </c>
      <c r="F8" s="235" t="s">
        <v>582</v>
      </c>
      <c r="G8" s="9" t="s">
        <v>113</v>
      </c>
      <c r="H8" s="9" t="s">
        <v>140</v>
      </c>
      <c r="I8" s="48" t="s">
        <v>583</v>
      </c>
      <c r="J8" s="9">
        <v>0</v>
      </c>
      <c r="K8" s="27">
        <v>0.5</v>
      </c>
      <c r="L8" s="27">
        <v>1</v>
      </c>
      <c r="M8" s="27">
        <v>1</v>
      </c>
      <c r="N8" s="27">
        <v>1</v>
      </c>
      <c r="O8" s="27">
        <v>1</v>
      </c>
      <c r="P8" s="109">
        <v>1</v>
      </c>
      <c r="Q8" s="99">
        <v>80000000</v>
      </c>
      <c r="R8" s="100">
        <v>0.04</v>
      </c>
      <c r="S8" s="103">
        <f t="shared" si="0"/>
        <v>0</v>
      </c>
      <c r="T8" s="103">
        <f t="shared" si="1"/>
        <v>83200000</v>
      </c>
      <c r="U8" s="103">
        <f t="shared" si="2"/>
        <v>86528000</v>
      </c>
      <c r="V8" s="103">
        <f t="shared" si="3"/>
        <v>89989120</v>
      </c>
      <c r="W8" s="103">
        <f t="shared" si="4"/>
        <v>93588684.799999997</v>
      </c>
      <c r="X8" s="103">
        <f t="shared" si="5"/>
        <v>97332232.192000002</v>
      </c>
      <c r="Y8" s="103">
        <f t="shared" si="6"/>
        <v>101225521.47968</v>
      </c>
      <c r="Z8" s="101">
        <f t="shared" si="7"/>
        <v>551863558.47167993</v>
      </c>
      <c r="AA8" s="389"/>
      <c r="AB8" s="419"/>
    </row>
    <row r="9" spans="1:28" s="14" customFormat="1" ht="67.5" customHeight="1">
      <c r="A9" s="397" t="s">
        <v>584</v>
      </c>
      <c r="B9" s="386" t="s">
        <v>585</v>
      </c>
      <c r="C9" s="11" t="s">
        <v>546</v>
      </c>
      <c r="D9" s="400" t="s">
        <v>496</v>
      </c>
      <c r="E9" s="11" t="s">
        <v>174</v>
      </c>
      <c r="F9" s="246" t="s">
        <v>586</v>
      </c>
      <c r="G9" s="11" t="s">
        <v>112</v>
      </c>
      <c r="H9" s="11" t="s">
        <v>113</v>
      </c>
      <c r="I9" s="11" t="s">
        <v>587</v>
      </c>
      <c r="J9" s="6">
        <v>0.04</v>
      </c>
      <c r="K9" s="47">
        <v>4.4999999999999998E-2</v>
      </c>
      <c r="L9" s="6">
        <v>0.05</v>
      </c>
      <c r="M9" s="47">
        <v>5.5E-2</v>
      </c>
      <c r="N9" s="6">
        <v>0.06</v>
      </c>
      <c r="O9" s="47">
        <v>6.5000000000000002E-2</v>
      </c>
      <c r="P9" s="106">
        <v>7.0000000000000007E-2</v>
      </c>
      <c r="Q9" s="92">
        <v>0</v>
      </c>
      <c r="R9" s="93">
        <v>0.04</v>
      </c>
      <c r="S9" s="128">
        <f t="shared" si="0"/>
        <v>0</v>
      </c>
      <c r="T9" s="128">
        <f t="shared" si="1"/>
        <v>0</v>
      </c>
      <c r="U9" s="128">
        <f t="shared" si="2"/>
        <v>0</v>
      </c>
      <c r="V9" s="128">
        <f t="shared" si="3"/>
        <v>0</v>
      </c>
      <c r="W9" s="128">
        <f t="shared" si="4"/>
        <v>0</v>
      </c>
      <c r="X9" s="128">
        <f t="shared" si="5"/>
        <v>0</v>
      </c>
      <c r="Y9" s="128">
        <f t="shared" si="6"/>
        <v>0</v>
      </c>
      <c r="Z9" s="94">
        <f t="shared" si="7"/>
        <v>0</v>
      </c>
      <c r="AA9" s="341">
        <f>SUM(Z9:Z11)</f>
        <v>0</v>
      </c>
      <c r="AB9" s="332" t="s">
        <v>15</v>
      </c>
    </row>
    <row r="10" spans="1:28" s="14" customFormat="1" ht="89.25" customHeight="1">
      <c r="A10" s="399"/>
      <c r="B10" s="381"/>
      <c r="C10" s="45" t="s">
        <v>588</v>
      </c>
      <c r="D10" s="401"/>
      <c r="E10" s="45" t="s">
        <v>174</v>
      </c>
      <c r="F10" s="232" t="s">
        <v>589</v>
      </c>
      <c r="G10" s="45" t="s">
        <v>113</v>
      </c>
      <c r="H10" s="45" t="s">
        <v>113</v>
      </c>
      <c r="I10" s="45" t="s">
        <v>590</v>
      </c>
      <c r="J10" s="15">
        <v>0.01</v>
      </c>
      <c r="K10" s="49">
        <v>2.5000000000000001E-2</v>
      </c>
      <c r="L10" s="15">
        <v>0.03</v>
      </c>
      <c r="M10" s="49">
        <v>3.5000000000000003E-2</v>
      </c>
      <c r="N10" s="15">
        <v>0.04</v>
      </c>
      <c r="O10" s="49">
        <v>4.4999999999999998E-2</v>
      </c>
      <c r="P10" s="108">
        <v>0.05</v>
      </c>
      <c r="Q10" s="95">
        <v>0</v>
      </c>
      <c r="R10" s="96">
        <v>0.04</v>
      </c>
      <c r="S10" s="97">
        <f t="shared" si="0"/>
        <v>0</v>
      </c>
      <c r="T10" s="97">
        <f t="shared" si="1"/>
        <v>0</v>
      </c>
      <c r="U10" s="97">
        <f t="shared" si="2"/>
        <v>0</v>
      </c>
      <c r="V10" s="97">
        <f t="shared" si="3"/>
        <v>0</v>
      </c>
      <c r="W10" s="97">
        <f t="shared" si="4"/>
        <v>0</v>
      </c>
      <c r="X10" s="97">
        <f t="shared" si="5"/>
        <v>0</v>
      </c>
      <c r="Y10" s="97">
        <f t="shared" si="6"/>
        <v>0</v>
      </c>
      <c r="Z10" s="98">
        <f t="shared" si="7"/>
        <v>0</v>
      </c>
      <c r="AA10" s="299"/>
      <c r="AB10" s="418"/>
    </row>
    <row r="11" spans="1:28" s="14" customFormat="1" ht="85.5" customHeight="1">
      <c r="A11" s="399"/>
      <c r="B11" s="381"/>
      <c r="C11" s="45" t="s">
        <v>591</v>
      </c>
      <c r="D11" s="402"/>
      <c r="E11" s="45" t="s">
        <v>174</v>
      </c>
      <c r="F11" s="232" t="s">
        <v>592</v>
      </c>
      <c r="G11" s="45" t="s">
        <v>112</v>
      </c>
      <c r="H11" s="45" t="s">
        <v>113</v>
      </c>
      <c r="I11" s="31" t="s">
        <v>593</v>
      </c>
      <c r="J11" s="15">
        <v>0.01</v>
      </c>
      <c r="K11" s="15">
        <v>0.02</v>
      </c>
      <c r="L11" s="15">
        <v>0.03</v>
      </c>
      <c r="M11" s="15">
        <v>0.04</v>
      </c>
      <c r="N11" s="15">
        <v>0.05</v>
      </c>
      <c r="O11" s="15">
        <v>0.06</v>
      </c>
      <c r="P11" s="108">
        <v>7.0000000000000007E-2</v>
      </c>
      <c r="Q11" s="95">
        <v>0</v>
      </c>
      <c r="R11" s="96">
        <v>0.04</v>
      </c>
      <c r="S11" s="97">
        <f t="shared" si="0"/>
        <v>0</v>
      </c>
      <c r="T11" s="97">
        <f t="shared" si="1"/>
        <v>0</v>
      </c>
      <c r="U11" s="97">
        <f t="shared" si="2"/>
        <v>0</v>
      </c>
      <c r="V11" s="97">
        <f t="shared" si="3"/>
        <v>0</v>
      </c>
      <c r="W11" s="97">
        <f t="shared" si="4"/>
        <v>0</v>
      </c>
      <c r="X11" s="97">
        <f t="shared" si="5"/>
        <v>0</v>
      </c>
      <c r="Y11" s="97">
        <f t="shared" si="6"/>
        <v>0</v>
      </c>
      <c r="Z11" s="98">
        <f t="shared" si="7"/>
        <v>0</v>
      </c>
      <c r="AA11" s="299"/>
      <c r="AB11" s="418"/>
    </row>
    <row r="12" spans="1:28" s="14" customFormat="1" ht="69" customHeight="1">
      <c r="A12" s="399"/>
      <c r="B12" s="381" t="s">
        <v>594</v>
      </c>
      <c r="C12" s="45" t="s">
        <v>595</v>
      </c>
      <c r="D12" s="379" t="s">
        <v>362</v>
      </c>
      <c r="E12" s="45" t="s">
        <v>119</v>
      </c>
      <c r="F12" s="232" t="s">
        <v>596</v>
      </c>
      <c r="G12" s="45" t="s">
        <v>113</v>
      </c>
      <c r="H12" s="45" t="s">
        <v>113</v>
      </c>
      <c r="I12" s="45" t="s">
        <v>597</v>
      </c>
      <c r="J12" s="45">
        <v>1</v>
      </c>
      <c r="K12" s="45">
        <v>0</v>
      </c>
      <c r="L12" s="45">
        <v>0</v>
      </c>
      <c r="M12" s="45">
        <v>0</v>
      </c>
      <c r="N12" s="45">
        <v>0</v>
      </c>
      <c r="O12" s="45">
        <v>0</v>
      </c>
      <c r="P12" s="122">
        <v>0</v>
      </c>
      <c r="Q12" s="95">
        <v>0</v>
      </c>
      <c r="R12" s="96">
        <v>0.04</v>
      </c>
      <c r="S12" s="97">
        <f t="shared" si="0"/>
        <v>0</v>
      </c>
      <c r="T12" s="97">
        <f t="shared" si="1"/>
        <v>0</v>
      </c>
      <c r="U12" s="97">
        <f t="shared" si="2"/>
        <v>0</v>
      </c>
      <c r="V12" s="97">
        <f t="shared" si="3"/>
        <v>0</v>
      </c>
      <c r="W12" s="97">
        <f t="shared" si="4"/>
        <v>0</v>
      </c>
      <c r="X12" s="97">
        <f t="shared" si="5"/>
        <v>0</v>
      </c>
      <c r="Y12" s="97">
        <f t="shared" si="6"/>
        <v>0</v>
      </c>
      <c r="Z12" s="98">
        <f t="shared" si="7"/>
        <v>0</v>
      </c>
      <c r="AA12" s="299">
        <f>SUM(Z12:Z13)</f>
        <v>0</v>
      </c>
      <c r="AB12" s="418" t="s">
        <v>15</v>
      </c>
    </row>
    <row r="13" spans="1:28" s="14" customFormat="1" ht="87.75" customHeight="1">
      <c r="A13" s="399"/>
      <c r="B13" s="381"/>
      <c r="C13" s="45" t="s">
        <v>598</v>
      </c>
      <c r="D13" s="402"/>
      <c r="E13" s="45" t="s">
        <v>119</v>
      </c>
      <c r="F13" s="232" t="s">
        <v>599</v>
      </c>
      <c r="G13" s="45" t="s">
        <v>113</v>
      </c>
      <c r="H13" s="45" t="s">
        <v>113</v>
      </c>
      <c r="I13" s="45" t="s">
        <v>600</v>
      </c>
      <c r="J13" s="45">
        <v>0</v>
      </c>
      <c r="K13" s="45">
        <v>2</v>
      </c>
      <c r="L13" s="45">
        <v>2</v>
      </c>
      <c r="M13" s="45">
        <v>2</v>
      </c>
      <c r="N13" s="45">
        <v>2</v>
      </c>
      <c r="O13" s="45">
        <v>2</v>
      </c>
      <c r="P13" s="122">
        <v>2</v>
      </c>
      <c r="Q13" s="95">
        <v>0</v>
      </c>
      <c r="R13" s="96">
        <v>0.04</v>
      </c>
      <c r="S13" s="97">
        <f t="shared" si="0"/>
        <v>0</v>
      </c>
      <c r="T13" s="97">
        <f t="shared" si="1"/>
        <v>0</v>
      </c>
      <c r="U13" s="97">
        <f t="shared" si="2"/>
        <v>0</v>
      </c>
      <c r="V13" s="97">
        <f t="shared" si="3"/>
        <v>0</v>
      </c>
      <c r="W13" s="97">
        <f t="shared" si="4"/>
        <v>0</v>
      </c>
      <c r="X13" s="97">
        <f t="shared" si="5"/>
        <v>0</v>
      </c>
      <c r="Y13" s="97">
        <f t="shared" si="6"/>
        <v>0</v>
      </c>
      <c r="Z13" s="98">
        <f t="shared" si="7"/>
        <v>0</v>
      </c>
      <c r="AA13" s="299"/>
      <c r="AB13" s="418"/>
    </row>
    <row r="14" spans="1:28" s="14" customFormat="1" ht="72.75" customHeight="1">
      <c r="A14" s="399"/>
      <c r="B14" s="381" t="s">
        <v>601</v>
      </c>
      <c r="C14" s="45" t="s">
        <v>602</v>
      </c>
      <c r="D14" s="379" t="s">
        <v>124</v>
      </c>
      <c r="E14" s="45" t="s">
        <v>119</v>
      </c>
      <c r="F14" s="232" t="s">
        <v>603</v>
      </c>
      <c r="G14" s="45" t="s">
        <v>112</v>
      </c>
      <c r="H14" s="45" t="s">
        <v>113</v>
      </c>
      <c r="I14" s="31" t="s">
        <v>604</v>
      </c>
      <c r="J14" s="45">
        <v>2</v>
      </c>
      <c r="K14" s="45">
        <v>2</v>
      </c>
      <c r="L14" s="45">
        <v>2</v>
      </c>
      <c r="M14" s="45">
        <v>2</v>
      </c>
      <c r="N14" s="45">
        <v>2</v>
      </c>
      <c r="O14" s="45">
        <v>2</v>
      </c>
      <c r="P14" s="122">
        <v>2</v>
      </c>
      <c r="Q14" s="95">
        <v>0</v>
      </c>
      <c r="R14" s="96">
        <v>0.04</v>
      </c>
      <c r="S14" s="97">
        <f t="shared" si="0"/>
        <v>0</v>
      </c>
      <c r="T14" s="97">
        <f t="shared" si="1"/>
        <v>0</v>
      </c>
      <c r="U14" s="97">
        <f t="shared" si="2"/>
        <v>0</v>
      </c>
      <c r="V14" s="97">
        <f t="shared" si="3"/>
        <v>0</v>
      </c>
      <c r="W14" s="97">
        <f t="shared" si="4"/>
        <v>0</v>
      </c>
      <c r="X14" s="97">
        <f t="shared" si="5"/>
        <v>0</v>
      </c>
      <c r="Y14" s="97">
        <f t="shared" si="6"/>
        <v>0</v>
      </c>
      <c r="Z14" s="98">
        <f t="shared" si="7"/>
        <v>0</v>
      </c>
      <c r="AA14" s="299">
        <f>SUM(Z14:Z15)</f>
        <v>394914724.04480004</v>
      </c>
      <c r="AB14" s="418" t="s">
        <v>9</v>
      </c>
    </row>
    <row r="15" spans="1:28" s="14" customFormat="1" ht="75.75" customHeight="1" thickBot="1">
      <c r="A15" s="398"/>
      <c r="B15" s="383"/>
      <c r="C15" s="9" t="s">
        <v>605</v>
      </c>
      <c r="D15" s="380"/>
      <c r="E15" s="9" t="s">
        <v>119</v>
      </c>
      <c r="F15" s="250" t="s">
        <v>606</v>
      </c>
      <c r="G15" s="9" t="s">
        <v>113</v>
      </c>
      <c r="H15" s="9" t="s">
        <v>113</v>
      </c>
      <c r="I15" s="48" t="s">
        <v>607</v>
      </c>
      <c r="J15" s="9">
        <v>1</v>
      </c>
      <c r="K15" s="9">
        <v>1</v>
      </c>
      <c r="L15" s="9">
        <v>1</v>
      </c>
      <c r="M15" s="9">
        <v>1</v>
      </c>
      <c r="N15" s="9">
        <v>1</v>
      </c>
      <c r="O15" s="9">
        <v>1</v>
      </c>
      <c r="P15" s="116">
        <v>1</v>
      </c>
      <c r="Q15" s="99">
        <v>50000000</v>
      </c>
      <c r="R15" s="100">
        <v>0.04</v>
      </c>
      <c r="S15" s="103">
        <f t="shared" si="0"/>
        <v>50000000</v>
      </c>
      <c r="T15" s="103">
        <f t="shared" si="1"/>
        <v>52000000</v>
      </c>
      <c r="U15" s="103">
        <f t="shared" si="2"/>
        <v>54080000</v>
      </c>
      <c r="V15" s="103">
        <f t="shared" si="3"/>
        <v>56243200</v>
      </c>
      <c r="W15" s="103">
        <f t="shared" si="4"/>
        <v>58492928</v>
      </c>
      <c r="X15" s="103">
        <f t="shared" si="5"/>
        <v>60832645.120000005</v>
      </c>
      <c r="Y15" s="103">
        <f t="shared" si="6"/>
        <v>63265950.924800009</v>
      </c>
      <c r="Z15" s="101">
        <f t="shared" si="7"/>
        <v>394914724.04480004</v>
      </c>
      <c r="AA15" s="389"/>
      <c r="AB15" s="419"/>
    </row>
    <row r="16" spans="1:28" s="14" customFormat="1" ht="70.5" customHeight="1">
      <c r="A16" s="397" t="s">
        <v>608</v>
      </c>
      <c r="B16" s="386" t="s">
        <v>609</v>
      </c>
      <c r="C16" s="387" t="s">
        <v>610</v>
      </c>
      <c r="D16" s="400" t="s">
        <v>285</v>
      </c>
      <c r="E16" s="11" t="s">
        <v>119</v>
      </c>
      <c r="F16" s="246" t="s">
        <v>611</v>
      </c>
      <c r="G16" s="11" t="s">
        <v>113</v>
      </c>
      <c r="H16" s="11" t="s">
        <v>113</v>
      </c>
      <c r="I16" s="17">
        <v>0</v>
      </c>
      <c r="J16" s="11">
        <v>1</v>
      </c>
      <c r="K16" s="11">
        <v>0</v>
      </c>
      <c r="L16" s="11">
        <v>0</v>
      </c>
      <c r="M16" s="11">
        <v>0</v>
      </c>
      <c r="N16" s="11">
        <v>0</v>
      </c>
      <c r="O16" s="11">
        <v>0</v>
      </c>
      <c r="P16" s="120">
        <v>0</v>
      </c>
      <c r="Q16" s="92">
        <v>0</v>
      </c>
      <c r="R16" s="93">
        <v>0.04</v>
      </c>
      <c r="S16" s="128">
        <f t="shared" si="0"/>
        <v>0</v>
      </c>
      <c r="T16" s="128">
        <f t="shared" si="1"/>
        <v>0</v>
      </c>
      <c r="U16" s="128">
        <f t="shared" si="2"/>
        <v>0</v>
      </c>
      <c r="V16" s="128">
        <f t="shared" si="3"/>
        <v>0</v>
      </c>
      <c r="W16" s="128">
        <f t="shared" si="4"/>
        <v>0</v>
      </c>
      <c r="X16" s="128">
        <f t="shared" si="5"/>
        <v>0</v>
      </c>
      <c r="Y16" s="128">
        <f t="shared" si="6"/>
        <v>0</v>
      </c>
      <c r="Z16" s="94">
        <f>SUM(S16:Y16)</f>
        <v>0</v>
      </c>
      <c r="AA16" s="344">
        <f>SUM(Z16:Z17)</f>
        <v>0</v>
      </c>
      <c r="AB16" s="332" t="s">
        <v>15</v>
      </c>
    </row>
    <row r="17" spans="1:28" s="14" customFormat="1" ht="90" customHeight="1" thickBot="1">
      <c r="A17" s="405"/>
      <c r="B17" s="384"/>
      <c r="C17" s="385"/>
      <c r="D17" s="380"/>
      <c r="E17" s="8" t="s">
        <v>174</v>
      </c>
      <c r="F17" s="247" t="s">
        <v>612</v>
      </c>
      <c r="G17" s="8" t="s">
        <v>113</v>
      </c>
      <c r="H17" s="8" t="s">
        <v>140</v>
      </c>
      <c r="I17" s="8" t="s">
        <v>613</v>
      </c>
      <c r="J17" s="8">
        <v>0</v>
      </c>
      <c r="K17" s="5">
        <v>0.1</v>
      </c>
      <c r="L17" s="5">
        <v>0.2</v>
      </c>
      <c r="M17" s="5">
        <v>0.4</v>
      </c>
      <c r="N17" s="5">
        <v>0.6</v>
      </c>
      <c r="O17" s="5">
        <v>0.8</v>
      </c>
      <c r="P17" s="149">
        <v>1</v>
      </c>
      <c r="Q17" s="130">
        <v>0</v>
      </c>
      <c r="R17" s="102">
        <v>0.04</v>
      </c>
      <c r="S17" s="103">
        <f t="shared" si="0"/>
        <v>0</v>
      </c>
      <c r="T17" s="103">
        <f t="shared" si="1"/>
        <v>0</v>
      </c>
      <c r="U17" s="103">
        <f t="shared" si="2"/>
        <v>0</v>
      </c>
      <c r="V17" s="103">
        <f t="shared" si="3"/>
        <v>0</v>
      </c>
      <c r="W17" s="103">
        <f t="shared" si="4"/>
        <v>0</v>
      </c>
      <c r="X17" s="103">
        <f t="shared" si="5"/>
        <v>0</v>
      </c>
      <c r="Y17" s="103">
        <f t="shared" si="6"/>
        <v>0</v>
      </c>
      <c r="Z17" s="104">
        <f>SUM(S17:Y17)</f>
        <v>0</v>
      </c>
      <c r="AA17" s="374"/>
      <c r="AB17" s="419"/>
    </row>
    <row r="18" spans="1:28" ht="21" customHeight="1">
      <c r="Q18" s="198"/>
    </row>
    <row r="19" spans="1:28" ht="18.95" customHeight="1">
      <c r="A19" s="396"/>
      <c r="B19" s="396"/>
      <c r="C19" s="396"/>
      <c r="D19" s="396"/>
      <c r="E19" s="396"/>
      <c r="F19" s="396"/>
      <c r="G19" s="396"/>
      <c r="H19" s="396"/>
      <c r="I19" s="396"/>
      <c r="J19" s="396"/>
      <c r="K19" s="396"/>
      <c r="L19" s="396"/>
      <c r="M19" s="396"/>
      <c r="N19" s="396"/>
      <c r="O19" s="396"/>
      <c r="P19" s="396"/>
    </row>
    <row r="20" spans="1:28" ht="65.25" customHeight="1"/>
    <row r="21" spans="1:28" ht="60.75" customHeight="1"/>
    <row r="22" spans="1:28" ht="55.5" customHeight="1"/>
    <row r="23" spans="1:28" ht="81.75" customHeight="1"/>
  </sheetData>
  <sheetProtection algorithmName="SHA-512" hashValue="1uT6DpvrUszkd+Vm3FurYvHkIsUlcufNocxBlRAK9M8RXIx7MkJs+n/yV4EQCpRjaM7rxSjDmiPmRt9OVE0wMQ==" saltValue="OxVYXtK+NMu0YpKIrzzhPA==" spinCount="100000" sheet="1" objects="1" scenarios="1"/>
  <mergeCells count="49">
    <mergeCell ref="A19:P19"/>
    <mergeCell ref="H3:H4"/>
    <mergeCell ref="I3:I4"/>
    <mergeCell ref="J3:P3"/>
    <mergeCell ref="C5:C6"/>
    <mergeCell ref="B7:B8"/>
    <mergeCell ref="A3:A4"/>
    <mergeCell ref="B3:B4"/>
    <mergeCell ref="C3:C4"/>
    <mergeCell ref="D3:D4"/>
    <mergeCell ref="E3:E4"/>
    <mergeCell ref="F3:F4"/>
    <mergeCell ref="A5:A8"/>
    <mergeCell ref="D16:D17"/>
    <mergeCell ref="A16:A17"/>
    <mergeCell ref="B16:B17"/>
    <mergeCell ref="AB7:AB8"/>
    <mergeCell ref="AB9:AB11"/>
    <mergeCell ref="A1:P1"/>
    <mergeCell ref="D7:D8"/>
    <mergeCell ref="G3:G4"/>
    <mergeCell ref="A2:P2"/>
    <mergeCell ref="C16:C17"/>
    <mergeCell ref="A9:A15"/>
    <mergeCell ref="B9:B11"/>
    <mergeCell ref="B12:B13"/>
    <mergeCell ref="B14:B15"/>
    <mergeCell ref="D12:D13"/>
    <mergeCell ref="D14:D15"/>
    <mergeCell ref="D5:D6"/>
    <mergeCell ref="B5:B6"/>
    <mergeCell ref="C7:C8"/>
    <mergeCell ref="D9:D11"/>
    <mergeCell ref="AB12:AB13"/>
    <mergeCell ref="AB14:AB15"/>
    <mergeCell ref="AB3:AB4"/>
    <mergeCell ref="AA16:AA17"/>
    <mergeCell ref="Q3:Q4"/>
    <mergeCell ref="R3:R4"/>
    <mergeCell ref="S3:Y3"/>
    <mergeCell ref="Z3:Z4"/>
    <mergeCell ref="AA3:AA4"/>
    <mergeCell ref="AA5:AA6"/>
    <mergeCell ref="AA7:AA8"/>
    <mergeCell ref="AA9:AA11"/>
    <mergeCell ref="AA12:AA13"/>
    <mergeCell ref="AA14:AA15"/>
    <mergeCell ref="AB16:AB17"/>
    <mergeCell ref="AB5:AB6"/>
  </mergeCells>
  <pageMargins left="0.7" right="0.7" top="0.75" bottom="0.75" header="0.3" footer="0.3"/>
  <pageSetup orientation="portrait" horizontalDpi="1200" verticalDpi="1200" r:id="rId1"/>
  <ignoredErrors>
    <ignoredError sqref="AA16 Z8 Z13 Z14 Z15 T17:Z17"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Hoja2!$C$15:$C$17</xm:f>
          </x14:formula1>
          <xm:sqref>G5:G17</xm:sqref>
        </x14:dataValidation>
        <x14:dataValidation type="list" allowBlank="1" showInputMessage="1" showErrorMessage="1" xr:uid="{00000000-0002-0000-0A00-000001000000}">
          <x14:formula1>
            <xm:f>Hoja2!$A$1:$A$3</xm:f>
          </x14:formula1>
          <xm:sqref>E5:E17</xm:sqref>
        </x14:dataValidation>
        <x14:dataValidation type="list" allowBlank="1" showInputMessage="1" showErrorMessage="1" xr:uid="{00000000-0002-0000-0A00-000002000000}">
          <x14:formula1>
            <xm:f>Hoja2!$E$15:$E$26</xm:f>
          </x14:formula1>
          <xm:sqref>AB5:AB17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6"/>
  <sheetViews>
    <sheetView zoomScale="80" zoomScaleNormal="80" zoomScalePageLayoutView="70" workbookViewId="0">
      <selection sqref="A1:P1"/>
    </sheetView>
  </sheetViews>
  <sheetFormatPr defaultColWidth="11" defaultRowHeight="15.75"/>
  <cols>
    <col min="1" max="1" width="34.625" customWidth="1"/>
    <col min="2" max="2" width="52.875" customWidth="1"/>
    <col min="3" max="3" width="22.125" style="55" customWidth="1"/>
    <col min="4" max="4" width="8.5" customWidth="1"/>
    <col min="5" max="5" width="13.5" customWidth="1"/>
    <col min="6" max="6" width="31.125" customWidth="1"/>
    <col min="7" max="7" width="18.125" customWidth="1"/>
    <col min="8" max="8" width="19.875" customWidth="1"/>
    <col min="9" max="9" width="32.125" customWidth="1"/>
    <col min="10" max="15" width="6.375" customWidth="1"/>
    <col min="16" max="16" width="7.125" customWidth="1"/>
    <col min="17" max="17" width="18.125" style="105" customWidth="1"/>
    <col min="18" max="18" width="7.875" customWidth="1"/>
    <col min="19" max="25" width="16.125" customWidth="1"/>
    <col min="26" max="27" width="23.625" customWidth="1"/>
    <col min="28" max="28" width="27.625" customWidth="1"/>
  </cols>
  <sheetData>
    <row r="1" spans="1:29" ht="32.1" customHeight="1">
      <c r="A1" s="347" t="s">
        <v>91</v>
      </c>
      <c r="B1" s="347"/>
      <c r="C1" s="347"/>
      <c r="D1" s="347"/>
      <c r="E1" s="347"/>
      <c r="F1" s="347"/>
      <c r="G1" s="347"/>
      <c r="H1" s="347"/>
      <c r="I1" s="347"/>
      <c r="J1" s="347"/>
      <c r="K1" s="347"/>
      <c r="L1" s="347"/>
      <c r="M1" s="347"/>
      <c r="N1" s="347"/>
      <c r="O1" s="347"/>
      <c r="P1" s="347"/>
    </row>
    <row r="2" spans="1:29" ht="12.75" customHeight="1" thickBot="1">
      <c r="A2" s="345"/>
      <c r="B2" s="345"/>
      <c r="C2" s="345"/>
      <c r="D2" s="345"/>
      <c r="E2" s="345"/>
      <c r="F2" s="345"/>
      <c r="G2" s="345"/>
      <c r="H2" s="345"/>
      <c r="I2" s="345"/>
      <c r="J2" s="345"/>
      <c r="K2" s="345"/>
      <c r="L2" s="345"/>
      <c r="M2" s="345"/>
      <c r="N2" s="345"/>
      <c r="O2" s="345"/>
      <c r="P2" s="346"/>
      <c r="R2" s="224">
        <f>R5+1</f>
        <v>1.04</v>
      </c>
    </row>
    <row r="3" spans="1:29" ht="22.5" customHeight="1">
      <c r="A3" s="362" t="s">
        <v>92</v>
      </c>
      <c r="B3" s="324" t="s">
        <v>93</v>
      </c>
      <c r="C3" s="324" t="s">
        <v>94</v>
      </c>
      <c r="D3" s="324" t="s">
        <v>35</v>
      </c>
      <c r="E3" s="324" t="s">
        <v>95</v>
      </c>
      <c r="F3" s="324" t="s">
        <v>96</v>
      </c>
      <c r="G3" s="324" t="s">
        <v>97</v>
      </c>
      <c r="H3" s="324" t="s">
        <v>98</v>
      </c>
      <c r="I3" s="324" t="s">
        <v>99</v>
      </c>
      <c r="J3" s="420" t="s">
        <v>100</v>
      </c>
      <c r="K3" s="421"/>
      <c r="L3" s="421"/>
      <c r="M3" s="421"/>
      <c r="N3" s="421"/>
      <c r="O3" s="421"/>
      <c r="P3" s="422"/>
      <c r="Q3" s="334" t="s">
        <v>101</v>
      </c>
      <c r="R3" s="336" t="s">
        <v>102</v>
      </c>
      <c r="S3" s="338" t="s">
        <v>103</v>
      </c>
      <c r="T3" s="338"/>
      <c r="U3" s="338"/>
      <c r="V3" s="338"/>
      <c r="W3" s="338"/>
      <c r="X3" s="338"/>
      <c r="Y3" s="392"/>
      <c r="Z3" s="339" t="s">
        <v>104</v>
      </c>
      <c r="AA3" s="394" t="s">
        <v>105</v>
      </c>
      <c r="AB3" s="377" t="s">
        <v>2</v>
      </c>
    </row>
    <row r="4" spans="1:29" ht="22.5" customHeight="1" thickBot="1">
      <c r="A4" s="423"/>
      <c r="B4" s="325"/>
      <c r="C4" s="325"/>
      <c r="D4" s="325"/>
      <c r="E4" s="325"/>
      <c r="F4" s="325"/>
      <c r="G4" s="325"/>
      <c r="H4" s="325"/>
      <c r="I4" s="325"/>
      <c r="J4" s="1">
        <v>2021</v>
      </c>
      <c r="K4" s="1">
        <v>2022</v>
      </c>
      <c r="L4" s="1">
        <v>2023</v>
      </c>
      <c r="M4" s="1">
        <v>2024</v>
      </c>
      <c r="N4" s="1">
        <v>2025</v>
      </c>
      <c r="O4" s="1">
        <v>2026</v>
      </c>
      <c r="P4" s="1">
        <v>2027</v>
      </c>
      <c r="Q4" s="390"/>
      <c r="R4" s="391"/>
      <c r="S4" s="90">
        <v>2021</v>
      </c>
      <c r="T4" s="90">
        <v>2022</v>
      </c>
      <c r="U4" s="90">
        <v>2023</v>
      </c>
      <c r="V4" s="90">
        <v>2024</v>
      </c>
      <c r="W4" s="90">
        <v>2025</v>
      </c>
      <c r="X4" s="90">
        <v>2026</v>
      </c>
      <c r="Y4" s="91">
        <v>2027</v>
      </c>
      <c r="Z4" s="393"/>
      <c r="AA4" s="395"/>
      <c r="AB4" s="378"/>
    </row>
    <row r="5" spans="1:29" s="14" customFormat="1" ht="68.25" customHeight="1">
      <c r="A5" s="397" t="s">
        <v>614</v>
      </c>
      <c r="B5" s="386" t="s">
        <v>615</v>
      </c>
      <c r="C5" s="11" t="s">
        <v>616</v>
      </c>
      <c r="D5" s="400" t="s">
        <v>617</v>
      </c>
      <c r="E5" s="11" t="s">
        <v>119</v>
      </c>
      <c r="F5" s="246" t="s">
        <v>618</v>
      </c>
      <c r="G5" s="11" t="s">
        <v>113</v>
      </c>
      <c r="H5" s="11" t="s">
        <v>113</v>
      </c>
      <c r="I5" s="11" t="s">
        <v>619</v>
      </c>
      <c r="J5" s="11">
        <v>1</v>
      </c>
      <c r="K5" s="11">
        <v>0</v>
      </c>
      <c r="L5" s="11">
        <v>0</v>
      </c>
      <c r="M5" s="11">
        <v>0</v>
      </c>
      <c r="N5" s="11">
        <v>0</v>
      </c>
      <c r="O5" s="11">
        <v>0</v>
      </c>
      <c r="P5" s="120">
        <v>0</v>
      </c>
      <c r="Q5" s="92">
        <v>0</v>
      </c>
      <c r="R5" s="93">
        <v>0.04</v>
      </c>
      <c r="S5" s="97">
        <f t="shared" ref="S5:S26" si="0">IF(J5&lt;&gt;0,Q5,0)</f>
        <v>0</v>
      </c>
      <c r="T5" s="97">
        <f t="shared" ref="T5:T26" si="1">IF(K5&lt;&gt;0,(IF(S5&lt;&gt;0,(S5*$R$2),($Q5*$R$2))),0)</f>
        <v>0</v>
      </c>
      <c r="U5" s="97">
        <f t="shared" ref="U5:U26" si="2">IF(L5&lt;&gt;0,(IF(T5&lt;&gt;0,(T5*$R$2),(($Q5*$R$2)*$R$2))),0)</f>
        <v>0</v>
      </c>
      <c r="V5" s="97">
        <f t="shared" ref="V5:V26" si="3">IF(M5&lt;&gt;0,(IF(U5&lt;&gt;0,(U5*$R$2),(($Q5*$R$2)*$R$2*$R$2))),0)</f>
        <v>0</v>
      </c>
      <c r="W5" s="97">
        <f t="shared" ref="W5:W26" si="4">IF(N5&lt;&gt;0,(IF(V5&lt;&gt;0,(V5*$R$2),(($Q5*$R$2)*$R$2*$R$2*$R$2))),0)</f>
        <v>0</v>
      </c>
      <c r="X5" s="97">
        <f t="shared" ref="X5:X26" si="5">IF(O5&lt;&gt;0,(IF(W5&lt;&gt;0,(W5*$R$2),(($Q5*$R$2)*$R$2*$R$2*$R$2*$R$2))),0)</f>
        <v>0</v>
      </c>
      <c r="Y5" s="97">
        <f t="shared" ref="Y5:Y26" si="6">IF(P5&lt;&gt;0,(IF(X5&lt;&gt;0,(X5*$R$2),(($Q5*$R$2)*$R$2*$R$2*$R$2*$R$2*$R$2))),0)</f>
        <v>0</v>
      </c>
      <c r="Z5" s="94">
        <f>SUM(S5:Y5)</f>
        <v>0</v>
      </c>
      <c r="AA5" s="341">
        <f>SUM(Z5:Z6)</f>
        <v>0</v>
      </c>
      <c r="AB5" s="333" t="s">
        <v>15</v>
      </c>
    </row>
    <row r="6" spans="1:29" s="14" customFormat="1" ht="69.75" customHeight="1">
      <c r="A6" s="399"/>
      <c r="B6" s="381"/>
      <c r="C6" s="45" t="s">
        <v>616</v>
      </c>
      <c r="D6" s="402"/>
      <c r="E6" s="45" t="s">
        <v>174</v>
      </c>
      <c r="F6" s="232" t="s">
        <v>620</v>
      </c>
      <c r="G6" s="45" t="s">
        <v>112</v>
      </c>
      <c r="H6" s="45" t="s">
        <v>113</v>
      </c>
      <c r="I6" s="45" t="s">
        <v>621</v>
      </c>
      <c r="J6" s="71">
        <v>0</v>
      </c>
      <c r="K6" s="21">
        <v>0.5</v>
      </c>
      <c r="L6" s="21">
        <v>1</v>
      </c>
      <c r="M6" s="21">
        <v>1</v>
      </c>
      <c r="N6" s="21">
        <v>1</v>
      </c>
      <c r="O6" s="21">
        <v>1</v>
      </c>
      <c r="P6" s="112">
        <v>1</v>
      </c>
      <c r="Q6" s="95">
        <v>0</v>
      </c>
      <c r="R6" s="96">
        <v>0.04</v>
      </c>
      <c r="S6" s="97">
        <f t="shared" si="0"/>
        <v>0</v>
      </c>
      <c r="T6" s="97">
        <f t="shared" si="1"/>
        <v>0</v>
      </c>
      <c r="U6" s="97">
        <f t="shared" si="2"/>
        <v>0</v>
      </c>
      <c r="V6" s="97">
        <f t="shared" si="3"/>
        <v>0</v>
      </c>
      <c r="W6" s="97">
        <f t="shared" si="4"/>
        <v>0</v>
      </c>
      <c r="X6" s="97">
        <f t="shared" si="5"/>
        <v>0</v>
      </c>
      <c r="Y6" s="97">
        <f t="shared" si="6"/>
        <v>0</v>
      </c>
      <c r="Z6" s="98">
        <f t="shared" ref="Z6:Z17" si="7">SUM(S6:Y6)</f>
        <v>0</v>
      </c>
      <c r="AA6" s="299"/>
      <c r="AB6" s="332"/>
    </row>
    <row r="7" spans="1:29" s="14" customFormat="1" ht="63.75" customHeight="1">
      <c r="A7" s="399"/>
      <c r="B7" s="381" t="s">
        <v>622</v>
      </c>
      <c r="C7" s="45" t="s">
        <v>623</v>
      </c>
      <c r="D7" s="379" t="s">
        <v>624</v>
      </c>
      <c r="E7" s="45" t="s">
        <v>119</v>
      </c>
      <c r="F7" s="232" t="s">
        <v>625</v>
      </c>
      <c r="G7" s="45" t="s">
        <v>113</v>
      </c>
      <c r="H7" s="45" t="s">
        <v>113</v>
      </c>
      <c r="I7" s="45" t="s">
        <v>626</v>
      </c>
      <c r="J7" s="45">
        <v>1</v>
      </c>
      <c r="K7" s="45">
        <v>0</v>
      </c>
      <c r="L7" s="45">
        <v>0</v>
      </c>
      <c r="M7" s="45">
        <v>0</v>
      </c>
      <c r="N7" s="45">
        <v>0</v>
      </c>
      <c r="O7" s="45">
        <v>0</v>
      </c>
      <c r="P7" s="122">
        <v>0</v>
      </c>
      <c r="Q7" s="95">
        <v>0</v>
      </c>
      <c r="R7" s="96">
        <v>0.04</v>
      </c>
      <c r="S7" s="97">
        <f t="shared" si="0"/>
        <v>0</v>
      </c>
      <c r="T7" s="97">
        <f t="shared" si="1"/>
        <v>0</v>
      </c>
      <c r="U7" s="97">
        <f t="shared" si="2"/>
        <v>0</v>
      </c>
      <c r="V7" s="97">
        <f t="shared" si="3"/>
        <v>0</v>
      </c>
      <c r="W7" s="97">
        <f t="shared" si="4"/>
        <v>0</v>
      </c>
      <c r="X7" s="97">
        <f t="shared" si="5"/>
        <v>0</v>
      </c>
      <c r="Y7" s="97">
        <f t="shared" si="6"/>
        <v>0</v>
      </c>
      <c r="Z7" s="98">
        <f t="shared" si="7"/>
        <v>0</v>
      </c>
      <c r="AA7" s="299">
        <f>SUM(Z7:Z8)</f>
        <v>0</v>
      </c>
      <c r="AB7" s="333" t="s">
        <v>15</v>
      </c>
    </row>
    <row r="8" spans="1:29" s="14" customFormat="1" ht="63.75" customHeight="1">
      <c r="A8" s="399"/>
      <c r="B8" s="381"/>
      <c r="C8" s="45" t="s">
        <v>623</v>
      </c>
      <c r="D8" s="402"/>
      <c r="E8" s="45" t="s">
        <v>174</v>
      </c>
      <c r="F8" s="232" t="s">
        <v>627</v>
      </c>
      <c r="G8" s="45" t="s">
        <v>112</v>
      </c>
      <c r="H8" s="45" t="s">
        <v>113</v>
      </c>
      <c r="I8" s="45" t="s">
        <v>621</v>
      </c>
      <c r="J8" s="71">
        <v>0</v>
      </c>
      <c r="K8" s="21">
        <v>0.5</v>
      </c>
      <c r="L8" s="21">
        <v>1</v>
      </c>
      <c r="M8" s="21">
        <v>1</v>
      </c>
      <c r="N8" s="21">
        <v>1</v>
      </c>
      <c r="O8" s="21">
        <v>1</v>
      </c>
      <c r="P8" s="112">
        <v>1</v>
      </c>
      <c r="Q8" s="95">
        <v>0</v>
      </c>
      <c r="R8" s="96">
        <v>0.04</v>
      </c>
      <c r="S8" s="97">
        <f t="shared" si="0"/>
        <v>0</v>
      </c>
      <c r="T8" s="97">
        <f t="shared" si="1"/>
        <v>0</v>
      </c>
      <c r="U8" s="97">
        <f t="shared" si="2"/>
        <v>0</v>
      </c>
      <c r="V8" s="97">
        <f t="shared" si="3"/>
        <v>0</v>
      </c>
      <c r="W8" s="97">
        <f t="shared" si="4"/>
        <v>0</v>
      </c>
      <c r="X8" s="97">
        <f t="shared" si="5"/>
        <v>0</v>
      </c>
      <c r="Y8" s="97">
        <f t="shared" si="6"/>
        <v>0</v>
      </c>
      <c r="Z8" s="98">
        <f t="shared" si="7"/>
        <v>0</v>
      </c>
      <c r="AA8" s="299"/>
      <c r="AB8" s="332"/>
    </row>
    <row r="9" spans="1:29" s="14" customFormat="1" ht="48.75" customHeight="1">
      <c r="A9" s="399"/>
      <c r="B9" s="367" t="s">
        <v>628</v>
      </c>
      <c r="C9" s="360" t="s">
        <v>629</v>
      </c>
      <c r="D9" s="360" t="s">
        <v>630</v>
      </c>
      <c r="E9" s="45" t="s">
        <v>174</v>
      </c>
      <c r="F9" s="232" t="s">
        <v>631</v>
      </c>
      <c r="G9" s="45" t="s">
        <v>113</v>
      </c>
      <c r="H9" s="45" t="s">
        <v>113</v>
      </c>
      <c r="I9" s="45" t="s">
        <v>632</v>
      </c>
      <c r="J9" s="226">
        <v>0.89</v>
      </c>
      <c r="K9" s="226">
        <v>0.89500000000000002</v>
      </c>
      <c r="L9" s="226">
        <v>0.9</v>
      </c>
      <c r="M9" s="226">
        <v>0.90500000000000003</v>
      </c>
      <c r="N9" s="226">
        <v>0.91</v>
      </c>
      <c r="O9" s="226">
        <v>0.91500000000000004</v>
      </c>
      <c r="P9" s="227">
        <v>0.92</v>
      </c>
      <c r="Q9" s="95">
        <v>0</v>
      </c>
      <c r="R9" s="96">
        <v>0.04</v>
      </c>
      <c r="S9" s="97">
        <f t="shared" si="0"/>
        <v>0</v>
      </c>
      <c r="T9" s="97">
        <f t="shared" si="1"/>
        <v>0</v>
      </c>
      <c r="U9" s="97">
        <f t="shared" si="2"/>
        <v>0</v>
      </c>
      <c r="V9" s="97">
        <f t="shared" si="3"/>
        <v>0</v>
      </c>
      <c r="W9" s="97">
        <f t="shared" si="4"/>
        <v>0</v>
      </c>
      <c r="X9" s="97">
        <f t="shared" si="5"/>
        <v>0</v>
      </c>
      <c r="Y9" s="97">
        <f t="shared" si="6"/>
        <v>0</v>
      </c>
      <c r="Z9" s="98">
        <f t="shared" si="7"/>
        <v>0</v>
      </c>
      <c r="AA9" s="299">
        <f>SUM(Z9:Z10)</f>
        <v>0</v>
      </c>
      <c r="AB9" s="333" t="s">
        <v>15</v>
      </c>
    </row>
    <row r="10" spans="1:29" s="14" customFormat="1" ht="71.25" customHeight="1" thickBot="1">
      <c r="A10" s="398"/>
      <c r="B10" s="424"/>
      <c r="C10" s="425"/>
      <c r="D10" s="425"/>
      <c r="E10" s="9" t="s">
        <v>174</v>
      </c>
      <c r="F10" s="235" t="s">
        <v>633</v>
      </c>
      <c r="G10" s="9" t="s">
        <v>113</v>
      </c>
      <c r="H10" s="8" t="s">
        <v>113</v>
      </c>
      <c r="I10" s="9" t="s">
        <v>634</v>
      </c>
      <c r="J10" s="72">
        <v>1</v>
      </c>
      <c r="K10" s="72">
        <v>1</v>
      </c>
      <c r="L10" s="72">
        <v>1</v>
      </c>
      <c r="M10" s="72">
        <v>1</v>
      </c>
      <c r="N10" s="72">
        <v>1</v>
      </c>
      <c r="O10" s="72">
        <v>1</v>
      </c>
      <c r="P10" s="124">
        <v>1</v>
      </c>
      <c r="Q10" s="99">
        <v>0</v>
      </c>
      <c r="R10" s="100">
        <v>0.04</v>
      </c>
      <c r="S10" s="103">
        <f t="shared" si="0"/>
        <v>0</v>
      </c>
      <c r="T10" s="103">
        <f t="shared" si="1"/>
        <v>0</v>
      </c>
      <c r="U10" s="103">
        <f t="shared" si="2"/>
        <v>0</v>
      </c>
      <c r="V10" s="103">
        <f t="shared" si="3"/>
        <v>0</v>
      </c>
      <c r="W10" s="103">
        <f t="shared" si="4"/>
        <v>0</v>
      </c>
      <c r="X10" s="103">
        <f t="shared" si="5"/>
        <v>0</v>
      </c>
      <c r="Y10" s="103">
        <f t="shared" si="6"/>
        <v>0</v>
      </c>
      <c r="Z10" s="101">
        <f t="shared" si="7"/>
        <v>0</v>
      </c>
      <c r="AA10" s="389"/>
      <c r="AB10" s="328"/>
    </row>
    <row r="11" spans="1:29" s="14" customFormat="1" ht="55.5" customHeight="1">
      <c r="A11" s="397" t="s">
        <v>635</v>
      </c>
      <c r="B11" s="386" t="s">
        <v>636</v>
      </c>
      <c r="C11" s="387" t="s">
        <v>637</v>
      </c>
      <c r="D11" s="400" t="s">
        <v>638</v>
      </c>
      <c r="E11" s="11" t="s">
        <v>119</v>
      </c>
      <c r="F11" s="246" t="s">
        <v>639</v>
      </c>
      <c r="G11" s="11" t="s">
        <v>113</v>
      </c>
      <c r="H11" s="11" t="s">
        <v>113</v>
      </c>
      <c r="I11" s="387" t="s">
        <v>640</v>
      </c>
      <c r="J11" s="11">
        <v>1</v>
      </c>
      <c r="K11" s="11">
        <v>0</v>
      </c>
      <c r="L11" s="11">
        <v>0</v>
      </c>
      <c r="M11" s="11">
        <v>0</v>
      </c>
      <c r="N11" s="11">
        <v>0</v>
      </c>
      <c r="O11" s="11">
        <v>0</v>
      </c>
      <c r="P11" s="120">
        <v>0</v>
      </c>
      <c r="Q11" s="92">
        <v>0</v>
      </c>
      <c r="R11" s="93">
        <v>0.04</v>
      </c>
      <c r="S11" s="128">
        <f t="shared" si="0"/>
        <v>0</v>
      </c>
      <c r="T11" s="128">
        <f t="shared" si="1"/>
        <v>0</v>
      </c>
      <c r="U11" s="128">
        <f t="shared" si="2"/>
        <v>0</v>
      </c>
      <c r="V11" s="128">
        <f t="shared" si="3"/>
        <v>0</v>
      </c>
      <c r="W11" s="128">
        <f t="shared" si="4"/>
        <v>0</v>
      </c>
      <c r="X11" s="128">
        <f t="shared" si="5"/>
        <v>0</v>
      </c>
      <c r="Y11" s="128">
        <f t="shared" si="6"/>
        <v>0</v>
      </c>
      <c r="Z11" s="94">
        <f t="shared" si="7"/>
        <v>0</v>
      </c>
      <c r="AA11" s="341">
        <f>SUM(Z11:Z12)</f>
        <v>0</v>
      </c>
      <c r="AB11" s="327" t="s">
        <v>15</v>
      </c>
    </row>
    <row r="12" spans="1:29" s="14" customFormat="1" ht="87.75" customHeight="1">
      <c r="A12" s="399"/>
      <c r="B12" s="381"/>
      <c r="C12" s="382"/>
      <c r="D12" s="402"/>
      <c r="E12" s="45" t="s">
        <v>174</v>
      </c>
      <c r="F12" s="232" t="s">
        <v>641</v>
      </c>
      <c r="G12" s="45" t="s">
        <v>113</v>
      </c>
      <c r="H12" s="45" t="s">
        <v>113</v>
      </c>
      <c r="I12" s="382"/>
      <c r="J12" s="71">
        <v>0</v>
      </c>
      <c r="K12" s="21">
        <v>0.5</v>
      </c>
      <c r="L12" s="21">
        <v>1</v>
      </c>
      <c r="M12" s="21">
        <v>1</v>
      </c>
      <c r="N12" s="21">
        <v>1</v>
      </c>
      <c r="O12" s="21">
        <v>1</v>
      </c>
      <c r="P12" s="112">
        <v>1</v>
      </c>
      <c r="Q12" s="95">
        <v>0</v>
      </c>
      <c r="R12" s="96">
        <v>0.04</v>
      </c>
      <c r="S12" s="97">
        <f t="shared" si="0"/>
        <v>0</v>
      </c>
      <c r="T12" s="97">
        <f t="shared" si="1"/>
        <v>0</v>
      </c>
      <c r="U12" s="97">
        <f t="shared" si="2"/>
        <v>0</v>
      </c>
      <c r="V12" s="97">
        <f t="shared" si="3"/>
        <v>0</v>
      </c>
      <c r="W12" s="97">
        <f t="shared" si="4"/>
        <v>0</v>
      </c>
      <c r="X12" s="97">
        <f t="shared" si="5"/>
        <v>0</v>
      </c>
      <c r="Y12" s="97">
        <f t="shared" si="6"/>
        <v>0</v>
      </c>
      <c r="Z12" s="98">
        <f t="shared" si="7"/>
        <v>0</v>
      </c>
      <c r="AA12" s="299"/>
      <c r="AB12" s="332"/>
    </row>
    <row r="13" spans="1:29" s="14" customFormat="1" ht="72.75" customHeight="1">
      <c r="A13" s="399"/>
      <c r="B13" s="232" t="s">
        <v>642</v>
      </c>
      <c r="C13" s="45" t="s">
        <v>643</v>
      </c>
      <c r="D13" s="45" t="s">
        <v>644</v>
      </c>
      <c r="E13" s="45" t="s">
        <v>110</v>
      </c>
      <c r="F13" s="232" t="s">
        <v>645</v>
      </c>
      <c r="G13" s="45" t="s">
        <v>113</v>
      </c>
      <c r="H13" s="45" t="s">
        <v>113</v>
      </c>
      <c r="I13" s="71" t="s">
        <v>646</v>
      </c>
      <c r="J13" s="21">
        <v>0.5</v>
      </c>
      <c r="K13" s="21">
        <v>0.9</v>
      </c>
      <c r="L13" s="21">
        <v>0.9</v>
      </c>
      <c r="M13" s="21">
        <v>0.9</v>
      </c>
      <c r="N13" s="21">
        <v>0.9</v>
      </c>
      <c r="O13" s="21">
        <v>0.9</v>
      </c>
      <c r="P13" s="112">
        <v>0.9</v>
      </c>
      <c r="Q13" s="95">
        <v>0</v>
      </c>
      <c r="R13" s="96">
        <v>0.04</v>
      </c>
      <c r="S13" s="97">
        <f t="shared" si="0"/>
        <v>0</v>
      </c>
      <c r="T13" s="97">
        <f t="shared" si="1"/>
        <v>0</v>
      </c>
      <c r="U13" s="97">
        <f t="shared" si="2"/>
        <v>0</v>
      </c>
      <c r="V13" s="97">
        <f t="shared" si="3"/>
        <v>0</v>
      </c>
      <c r="W13" s="97">
        <f t="shared" si="4"/>
        <v>0</v>
      </c>
      <c r="X13" s="97">
        <f t="shared" si="5"/>
        <v>0</v>
      </c>
      <c r="Y13" s="97">
        <f t="shared" si="6"/>
        <v>0</v>
      </c>
      <c r="Z13" s="98">
        <f t="shared" si="7"/>
        <v>0</v>
      </c>
      <c r="AA13" s="183">
        <f>Z13</f>
        <v>0</v>
      </c>
      <c r="AB13" s="188" t="s">
        <v>15</v>
      </c>
    </row>
    <row r="14" spans="1:29" s="14" customFormat="1" ht="131.25" customHeight="1">
      <c r="A14" s="399"/>
      <c r="B14" s="232" t="s">
        <v>647</v>
      </c>
      <c r="C14" s="45" t="s">
        <v>648</v>
      </c>
      <c r="D14" s="45" t="s">
        <v>649</v>
      </c>
      <c r="E14" s="45" t="s">
        <v>110</v>
      </c>
      <c r="F14" s="232" t="s">
        <v>650</v>
      </c>
      <c r="G14" s="45" t="s">
        <v>112</v>
      </c>
      <c r="H14" s="45" t="s">
        <v>113</v>
      </c>
      <c r="I14" s="45" t="s">
        <v>651</v>
      </c>
      <c r="J14" s="71">
        <v>0</v>
      </c>
      <c r="K14" s="21">
        <v>0.5</v>
      </c>
      <c r="L14" s="21">
        <v>0.5</v>
      </c>
      <c r="M14" s="21">
        <v>0.6</v>
      </c>
      <c r="N14" s="21">
        <v>0.6</v>
      </c>
      <c r="O14" s="21">
        <v>0.7</v>
      </c>
      <c r="P14" s="112">
        <v>0.7</v>
      </c>
      <c r="Q14" s="95">
        <v>0</v>
      </c>
      <c r="R14" s="96">
        <v>0.04</v>
      </c>
      <c r="S14" s="97">
        <f t="shared" si="0"/>
        <v>0</v>
      </c>
      <c r="T14" s="97">
        <f t="shared" si="1"/>
        <v>0</v>
      </c>
      <c r="U14" s="97">
        <f t="shared" si="2"/>
        <v>0</v>
      </c>
      <c r="V14" s="97">
        <f t="shared" si="3"/>
        <v>0</v>
      </c>
      <c r="W14" s="97">
        <f t="shared" si="4"/>
        <v>0</v>
      </c>
      <c r="X14" s="97">
        <f t="shared" si="5"/>
        <v>0</v>
      </c>
      <c r="Y14" s="97">
        <f t="shared" si="6"/>
        <v>0</v>
      </c>
      <c r="Z14" s="98">
        <f t="shared" si="7"/>
        <v>0</v>
      </c>
      <c r="AA14" s="183">
        <f>Z14</f>
        <v>0</v>
      </c>
      <c r="AB14" s="188" t="s">
        <v>15</v>
      </c>
    </row>
    <row r="15" spans="1:29" s="14" customFormat="1" ht="132" customHeight="1">
      <c r="A15" s="399"/>
      <c r="B15" s="232" t="s">
        <v>652</v>
      </c>
      <c r="C15" s="45" t="s">
        <v>653</v>
      </c>
      <c r="D15" s="45" t="s">
        <v>624</v>
      </c>
      <c r="E15" s="45" t="s">
        <v>174</v>
      </c>
      <c r="F15" s="232" t="s">
        <v>654</v>
      </c>
      <c r="G15" s="45" t="s">
        <v>113</v>
      </c>
      <c r="H15" s="45" t="s">
        <v>113</v>
      </c>
      <c r="I15" s="71" t="s">
        <v>655</v>
      </c>
      <c r="J15" s="15">
        <v>0.8</v>
      </c>
      <c r="K15" s="15">
        <v>0.8</v>
      </c>
      <c r="L15" s="15">
        <v>0.8</v>
      </c>
      <c r="M15" s="15">
        <v>0.8</v>
      </c>
      <c r="N15" s="15">
        <v>0.8</v>
      </c>
      <c r="O15" s="15">
        <v>0.8</v>
      </c>
      <c r="P15" s="108">
        <v>0.8</v>
      </c>
      <c r="Q15" s="95">
        <v>380000000</v>
      </c>
      <c r="R15" s="96">
        <v>0.04</v>
      </c>
      <c r="S15" s="97">
        <f t="shared" si="0"/>
        <v>380000000</v>
      </c>
      <c r="T15" s="97">
        <f t="shared" si="1"/>
        <v>395200000</v>
      </c>
      <c r="U15" s="97">
        <f t="shared" si="2"/>
        <v>411008000</v>
      </c>
      <c r="V15" s="97">
        <f t="shared" si="3"/>
        <v>427448320</v>
      </c>
      <c r="W15" s="97">
        <f t="shared" si="4"/>
        <v>444546252.80000001</v>
      </c>
      <c r="X15" s="97">
        <f t="shared" si="5"/>
        <v>462328102.912</v>
      </c>
      <c r="Y15" s="97">
        <f t="shared" si="6"/>
        <v>480821227.02847999</v>
      </c>
      <c r="Z15" s="98">
        <f t="shared" si="7"/>
        <v>3001351902.7404799</v>
      </c>
      <c r="AA15" s="183">
        <f>Z15</f>
        <v>3001351902.7404799</v>
      </c>
      <c r="AB15" s="188" t="s">
        <v>8</v>
      </c>
      <c r="AC15" s="70"/>
    </row>
    <row r="16" spans="1:29" s="14" customFormat="1" ht="121.5" customHeight="1">
      <c r="A16" s="399"/>
      <c r="B16" s="367" t="s">
        <v>656</v>
      </c>
      <c r="C16" s="360" t="s">
        <v>657</v>
      </c>
      <c r="D16" s="425" t="s">
        <v>658</v>
      </c>
      <c r="E16" s="71" t="s">
        <v>119</v>
      </c>
      <c r="F16" s="232" t="s">
        <v>659</v>
      </c>
      <c r="G16" s="45" t="s">
        <v>113</v>
      </c>
      <c r="H16" s="45" t="s">
        <v>113</v>
      </c>
      <c r="I16" s="45" t="s">
        <v>660</v>
      </c>
      <c r="J16" s="45">
        <v>1</v>
      </c>
      <c r="K16" s="45">
        <v>0</v>
      </c>
      <c r="L16" s="45">
        <v>0</v>
      </c>
      <c r="M16" s="45">
        <v>0</v>
      </c>
      <c r="N16" s="45">
        <v>0</v>
      </c>
      <c r="O16" s="45">
        <v>0</v>
      </c>
      <c r="P16" s="122">
        <v>0</v>
      </c>
      <c r="Q16" s="95">
        <v>0</v>
      </c>
      <c r="R16" s="96">
        <v>0.04</v>
      </c>
      <c r="S16" s="97">
        <f t="shared" si="0"/>
        <v>0</v>
      </c>
      <c r="T16" s="97">
        <f t="shared" si="1"/>
        <v>0</v>
      </c>
      <c r="U16" s="97">
        <f t="shared" si="2"/>
        <v>0</v>
      </c>
      <c r="V16" s="97">
        <f t="shared" si="3"/>
        <v>0</v>
      </c>
      <c r="W16" s="97">
        <f t="shared" si="4"/>
        <v>0</v>
      </c>
      <c r="X16" s="97">
        <f t="shared" si="5"/>
        <v>0</v>
      </c>
      <c r="Y16" s="97">
        <f t="shared" si="6"/>
        <v>0</v>
      </c>
      <c r="Z16" s="98">
        <f t="shared" si="7"/>
        <v>0</v>
      </c>
      <c r="AA16" s="299">
        <f>SUM(Z16:Z18)</f>
        <v>0</v>
      </c>
      <c r="AB16" s="333" t="s">
        <v>15</v>
      </c>
    </row>
    <row r="17" spans="1:28" s="14" customFormat="1" ht="96.95" customHeight="1">
      <c r="A17" s="399"/>
      <c r="B17" s="367"/>
      <c r="C17" s="360"/>
      <c r="D17" s="426"/>
      <c r="E17" s="71" t="s">
        <v>119</v>
      </c>
      <c r="F17" s="232" t="s">
        <v>661</v>
      </c>
      <c r="G17" s="45" t="s">
        <v>113</v>
      </c>
      <c r="H17" s="45" t="s">
        <v>113</v>
      </c>
      <c r="I17" s="45" t="s">
        <v>660</v>
      </c>
      <c r="J17" s="45">
        <v>1</v>
      </c>
      <c r="K17" s="45">
        <v>0</v>
      </c>
      <c r="L17" s="45">
        <v>0</v>
      </c>
      <c r="M17" s="45">
        <v>0</v>
      </c>
      <c r="N17" s="45">
        <v>0</v>
      </c>
      <c r="O17" s="45">
        <v>0</v>
      </c>
      <c r="P17" s="122">
        <v>0</v>
      </c>
      <c r="Q17" s="95">
        <v>0</v>
      </c>
      <c r="R17" s="96">
        <v>0.04</v>
      </c>
      <c r="S17" s="97">
        <f t="shared" si="0"/>
        <v>0</v>
      </c>
      <c r="T17" s="97">
        <f t="shared" si="1"/>
        <v>0</v>
      </c>
      <c r="U17" s="97">
        <f t="shared" si="2"/>
        <v>0</v>
      </c>
      <c r="V17" s="97">
        <f t="shared" si="3"/>
        <v>0</v>
      </c>
      <c r="W17" s="97">
        <f t="shared" si="4"/>
        <v>0</v>
      </c>
      <c r="X17" s="97">
        <f t="shared" si="5"/>
        <v>0</v>
      </c>
      <c r="Y17" s="97">
        <f t="shared" si="6"/>
        <v>0</v>
      </c>
      <c r="Z17" s="98">
        <f t="shared" si="7"/>
        <v>0</v>
      </c>
      <c r="AA17" s="299"/>
      <c r="AB17" s="327"/>
    </row>
    <row r="18" spans="1:28" s="14" customFormat="1" ht="161.1" customHeight="1" thickBot="1">
      <c r="A18" s="398"/>
      <c r="B18" s="424"/>
      <c r="C18" s="75" t="s">
        <v>662</v>
      </c>
      <c r="D18" s="427"/>
      <c r="E18" s="72" t="s">
        <v>119</v>
      </c>
      <c r="F18" s="250" t="s">
        <v>663</v>
      </c>
      <c r="G18" s="9" t="s">
        <v>113</v>
      </c>
      <c r="H18" s="8" t="s">
        <v>113</v>
      </c>
      <c r="I18" s="9" t="s">
        <v>660</v>
      </c>
      <c r="J18" s="53">
        <v>1</v>
      </c>
      <c r="K18" s="53">
        <v>0</v>
      </c>
      <c r="L18" s="53">
        <v>0</v>
      </c>
      <c r="M18" s="53">
        <v>0</v>
      </c>
      <c r="N18" s="53">
        <v>0</v>
      </c>
      <c r="O18" s="53">
        <v>0</v>
      </c>
      <c r="P18" s="142">
        <v>0</v>
      </c>
      <c r="Q18" s="130">
        <v>0</v>
      </c>
      <c r="R18" s="102">
        <v>0.04</v>
      </c>
      <c r="S18" s="103">
        <f t="shared" si="0"/>
        <v>0</v>
      </c>
      <c r="T18" s="103">
        <f t="shared" si="1"/>
        <v>0</v>
      </c>
      <c r="U18" s="103">
        <f t="shared" si="2"/>
        <v>0</v>
      </c>
      <c r="V18" s="103">
        <f t="shared" si="3"/>
        <v>0</v>
      </c>
      <c r="W18" s="103">
        <f t="shared" si="4"/>
        <v>0</v>
      </c>
      <c r="X18" s="103">
        <f t="shared" si="5"/>
        <v>0</v>
      </c>
      <c r="Y18" s="103">
        <f t="shared" si="6"/>
        <v>0</v>
      </c>
      <c r="Z18" s="104">
        <f t="shared" ref="Z18:Z26" si="8">SUM(S18:Y18)</f>
        <v>0</v>
      </c>
      <c r="AA18" s="389"/>
      <c r="AB18" s="328"/>
    </row>
    <row r="19" spans="1:28" s="14" customFormat="1" ht="152.1" customHeight="1" thickBot="1">
      <c r="A19" s="73" t="s">
        <v>664</v>
      </c>
      <c r="B19" s="248" t="s">
        <v>665</v>
      </c>
      <c r="C19" s="61" t="s">
        <v>666</v>
      </c>
      <c r="D19" s="61" t="s">
        <v>644</v>
      </c>
      <c r="E19" s="61" t="s">
        <v>174</v>
      </c>
      <c r="F19" s="248" t="s">
        <v>667</v>
      </c>
      <c r="G19" s="61" t="s">
        <v>112</v>
      </c>
      <c r="H19" s="18" t="s">
        <v>113</v>
      </c>
      <c r="I19" s="61" t="s">
        <v>668</v>
      </c>
      <c r="J19" s="67">
        <v>1</v>
      </c>
      <c r="K19" s="67">
        <v>1</v>
      </c>
      <c r="L19" s="67">
        <v>1</v>
      </c>
      <c r="M19" s="67">
        <v>1</v>
      </c>
      <c r="N19" s="67">
        <v>1</v>
      </c>
      <c r="O19" s="67">
        <v>1</v>
      </c>
      <c r="P19" s="68">
        <v>1</v>
      </c>
      <c r="Q19" s="146">
        <v>0</v>
      </c>
      <c r="R19" s="147">
        <v>0.04</v>
      </c>
      <c r="S19" s="133">
        <f t="shared" si="0"/>
        <v>0</v>
      </c>
      <c r="T19" s="133">
        <f t="shared" si="1"/>
        <v>0</v>
      </c>
      <c r="U19" s="133">
        <f t="shared" si="2"/>
        <v>0</v>
      </c>
      <c r="V19" s="133">
        <f t="shared" si="3"/>
        <v>0</v>
      </c>
      <c r="W19" s="133">
        <f t="shared" si="4"/>
        <v>0</v>
      </c>
      <c r="X19" s="133">
        <f t="shared" si="5"/>
        <v>0</v>
      </c>
      <c r="Y19" s="133">
        <f t="shared" si="6"/>
        <v>0</v>
      </c>
      <c r="Z19" s="148">
        <f t="shared" si="8"/>
        <v>0</v>
      </c>
      <c r="AA19" s="193">
        <f>Z19</f>
        <v>0</v>
      </c>
      <c r="AB19" s="195" t="s">
        <v>15</v>
      </c>
    </row>
    <row r="20" spans="1:28" s="14" customFormat="1" ht="145.5" customHeight="1">
      <c r="A20" s="397" t="s">
        <v>669</v>
      </c>
      <c r="B20" s="386" t="s">
        <v>670</v>
      </c>
      <c r="C20" s="371" t="s">
        <v>671</v>
      </c>
      <c r="D20" s="359" t="s">
        <v>644</v>
      </c>
      <c r="E20" s="13" t="s">
        <v>119</v>
      </c>
      <c r="F20" s="246" t="s">
        <v>672</v>
      </c>
      <c r="G20" s="11" t="s">
        <v>113</v>
      </c>
      <c r="H20" s="61" t="s">
        <v>113</v>
      </c>
      <c r="I20" s="11" t="s">
        <v>673</v>
      </c>
      <c r="J20" s="11">
        <v>1</v>
      </c>
      <c r="K20" s="11">
        <v>1</v>
      </c>
      <c r="L20" s="11">
        <v>1</v>
      </c>
      <c r="M20" s="11">
        <v>1</v>
      </c>
      <c r="N20" s="11">
        <v>1</v>
      </c>
      <c r="O20" s="11">
        <v>1</v>
      </c>
      <c r="P20" s="120">
        <v>1</v>
      </c>
      <c r="Q20" s="92">
        <v>0</v>
      </c>
      <c r="R20" s="93">
        <v>0.04</v>
      </c>
      <c r="S20" s="128">
        <f t="shared" si="0"/>
        <v>0</v>
      </c>
      <c r="T20" s="128">
        <f t="shared" si="1"/>
        <v>0</v>
      </c>
      <c r="U20" s="128">
        <f t="shared" si="2"/>
        <v>0</v>
      </c>
      <c r="V20" s="128">
        <f t="shared" si="3"/>
        <v>0</v>
      </c>
      <c r="W20" s="128">
        <f t="shared" si="4"/>
        <v>0</v>
      </c>
      <c r="X20" s="128">
        <f t="shared" si="5"/>
        <v>0</v>
      </c>
      <c r="Y20" s="128">
        <f t="shared" si="6"/>
        <v>0</v>
      </c>
      <c r="Z20" s="94">
        <f t="shared" si="8"/>
        <v>0</v>
      </c>
      <c r="AA20" s="341">
        <f>SUM(Z20:Z21)</f>
        <v>0</v>
      </c>
      <c r="AB20" s="327" t="s">
        <v>15</v>
      </c>
    </row>
    <row r="21" spans="1:28" s="14" customFormat="1" ht="70.5" customHeight="1">
      <c r="A21" s="399"/>
      <c r="B21" s="381"/>
      <c r="C21" s="428"/>
      <c r="D21" s="360"/>
      <c r="E21" s="45" t="s">
        <v>174</v>
      </c>
      <c r="F21" s="232" t="s">
        <v>674</v>
      </c>
      <c r="G21" s="45" t="s">
        <v>113</v>
      </c>
      <c r="H21" s="45" t="s">
        <v>113</v>
      </c>
      <c r="I21" s="45" t="s">
        <v>675</v>
      </c>
      <c r="J21" s="15">
        <v>1</v>
      </c>
      <c r="K21" s="15">
        <v>1</v>
      </c>
      <c r="L21" s="15">
        <v>1</v>
      </c>
      <c r="M21" s="15">
        <v>1</v>
      </c>
      <c r="N21" s="15">
        <v>1</v>
      </c>
      <c r="O21" s="15">
        <v>1</v>
      </c>
      <c r="P21" s="108">
        <v>1</v>
      </c>
      <c r="Q21" s="95">
        <v>0</v>
      </c>
      <c r="R21" s="96">
        <v>0.04</v>
      </c>
      <c r="S21" s="97">
        <f t="shared" si="0"/>
        <v>0</v>
      </c>
      <c r="T21" s="97">
        <f t="shared" si="1"/>
        <v>0</v>
      </c>
      <c r="U21" s="97">
        <f t="shared" si="2"/>
        <v>0</v>
      </c>
      <c r="V21" s="97">
        <f t="shared" si="3"/>
        <v>0</v>
      </c>
      <c r="W21" s="97">
        <f t="shared" si="4"/>
        <v>0</v>
      </c>
      <c r="X21" s="97">
        <f t="shared" si="5"/>
        <v>0</v>
      </c>
      <c r="Y21" s="97">
        <f t="shared" si="6"/>
        <v>0</v>
      </c>
      <c r="Z21" s="98">
        <f t="shared" si="8"/>
        <v>0</v>
      </c>
      <c r="AA21" s="299"/>
      <c r="AB21" s="332"/>
    </row>
    <row r="22" spans="1:28" s="14" customFormat="1" ht="99" customHeight="1" thickBot="1">
      <c r="A22" s="398"/>
      <c r="B22" s="235" t="s">
        <v>676</v>
      </c>
      <c r="C22" s="9" t="s">
        <v>677</v>
      </c>
      <c r="D22" s="9" t="s">
        <v>644</v>
      </c>
      <c r="E22" s="9" t="s">
        <v>110</v>
      </c>
      <c r="F22" s="235" t="s">
        <v>678</v>
      </c>
      <c r="G22" s="9" t="s">
        <v>112</v>
      </c>
      <c r="H22" s="8" t="s">
        <v>113</v>
      </c>
      <c r="I22" s="9" t="s">
        <v>679</v>
      </c>
      <c r="J22" s="27">
        <v>1</v>
      </c>
      <c r="K22" s="27">
        <v>1</v>
      </c>
      <c r="L22" s="27">
        <v>1</v>
      </c>
      <c r="M22" s="27">
        <v>1</v>
      </c>
      <c r="N22" s="27">
        <v>1</v>
      </c>
      <c r="O22" s="27">
        <v>1</v>
      </c>
      <c r="P22" s="109">
        <v>1</v>
      </c>
      <c r="Q22" s="99">
        <v>0</v>
      </c>
      <c r="R22" s="100">
        <v>0.04</v>
      </c>
      <c r="S22" s="103">
        <f t="shared" si="0"/>
        <v>0</v>
      </c>
      <c r="T22" s="103">
        <f t="shared" si="1"/>
        <v>0</v>
      </c>
      <c r="U22" s="103">
        <f t="shared" si="2"/>
        <v>0</v>
      </c>
      <c r="V22" s="103">
        <f t="shared" si="3"/>
        <v>0</v>
      </c>
      <c r="W22" s="103">
        <f t="shared" si="4"/>
        <v>0</v>
      </c>
      <c r="X22" s="103">
        <f t="shared" si="5"/>
        <v>0</v>
      </c>
      <c r="Y22" s="103">
        <f t="shared" si="6"/>
        <v>0</v>
      </c>
      <c r="Z22" s="101">
        <f t="shared" si="8"/>
        <v>0</v>
      </c>
      <c r="AA22" s="192">
        <f>Z22</f>
        <v>0</v>
      </c>
      <c r="AB22" s="189" t="s">
        <v>15</v>
      </c>
    </row>
    <row r="23" spans="1:28" s="14" customFormat="1" ht="81.75" customHeight="1">
      <c r="A23" s="397" t="s">
        <v>680</v>
      </c>
      <c r="B23" s="386" t="s">
        <v>681</v>
      </c>
      <c r="C23" s="387" t="s">
        <v>682</v>
      </c>
      <c r="D23" s="400" t="s">
        <v>644</v>
      </c>
      <c r="E23" s="11" t="s">
        <v>119</v>
      </c>
      <c r="F23" s="246" t="s">
        <v>683</v>
      </c>
      <c r="G23" s="11" t="s">
        <v>113</v>
      </c>
      <c r="H23" s="58" t="s">
        <v>113</v>
      </c>
      <c r="I23" s="11" t="s">
        <v>684</v>
      </c>
      <c r="J23" s="11">
        <v>1</v>
      </c>
      <c r="K23" s="11">
        <v>0</v>
      </c>
      <c r="L23" s="11">
        <v>0</v>
      </c>
      <c r="M23" s="11">
        <v>0</v>
      </c>
      <c r="N23" s="11">
        <v>0</v>
      </c>
      <c r="O23" s="11">
        <v>0</v>
      </c>
      <c r="P23" s="120">
        <v>0</v>
      </c>
      <c r="Q23" s="213">
        <v>0</v>
      </c>
      <c r="R23" s="93">
        <v>0.04</v>
      </c>
      <c r="S23" s="214">
        <f t="shared" si="0"/>
        <v>0</v>
      </c>
      <c r="T23" s="214">
        <f t="shared" si="1"/>
        <v>0</v>
      </c>
      <c r="U23" s="214">
        <f t="shared" si="2"/>
        <v>0</v>
      </c>
      <c r="V23" s="214">
        <f t="shared" si="3"/>
        <v>0</v>
      </c>
      <c r="W23" s="214">
        <f t="shared" si="4"/>
        <v>0</v>
      </c>
      <c r="X23" s="214">
        <f t="shared" si="5"/>
        <v>0</v>
      </c>
      <c r="Y23" s="214">
        <f t="shared" si="6"/>
        <v>0</v>
      </c>
      <c r="Z23" s="94">
        <f t="shared" si="8"/>
        <v>0</v>
      </c>
      <c r="AA23" s="416">
        <f>SUM(Z23:Z26)</f>
        <v>8688123928.9855995</v>
      </c>
      <c r="AB23" s="327" t="s">
        <v>9</v>
      </c>
    </row>
    <row r="24" spans="1:28" s="14" customFormat="1" ht="57.95" customHeight="1">
      <c r="A24" s="399"/>
      <c r="B24" s="381"/>
      <c r="C24" s="382"/>
      <c r="D24" s="401"/>
      <c r="E24" s="45" t="s">
        <v>174</v>
      </c>
      <c r="F24" s="232" t="s">
        <v>685</v>
      </c>
      <c r="G24" s="45" t="s">
        <v>113</v>
      </c>
      <c r="H24" s="45" t="s">
        <v>113</v>
      </c>
      <c r="I24" s="45" t="s">
        <v>686</v>
      </c>
      <c r="J24" s="15">
        <v>0.7</v>
      </c>
      <c r="K24" s="15">
        <v>1</v>
      </c>
      <c r="L24" s="15">
        <v>1</v>
      </c>
      <c r="M24" s="15">
        <v>1</v>
      </c>
      <c r="N24" s="15">
        <v>1</v>
      </c>
      <c r="O24" s="15">
        <v>1</v>
      </c>
      <c r="P24" s="108">
        <v>1</v>
      </c>
      <c r="Q24" s="95">
        <v>470000000</v>
      </c>
      <c r="R24" s="96">
        <v>0.04</v>
      </c>
      <c r="S24" s="97">
        <f t="shared" si="0"/>
        <v>470000000</v>
      </c>
      <c r="T24" s="97">
        <f t="shared" si="1"/>
        <v>488800000</v>
      </c>
      <c r="U24" s="97">
        <f t="shared" si="2"/>
        <v>508352000</v>
      </c>
      <c r="V24" s="97">
        <f t="shared" si="3"/>
        <v>528686080</v>
      </c>
      <c r="W24" s="97">
        <f t="shared" si="4"/>
        <v>549833523.20000005</v>
      </c>
      <c r="X24" s="97">
        <f t="shared" si="5"/>
        <v>571826864.12800002</v>
      </c>
      <c r="Y24" s="97">
        <f t="shared" si="6"/>
        <v>594699938.69312</v>
      </c>
      <c r="Z24" s="98">
        <f t="shared" si="8"/>
        <v>3712198406.0211201</v>
      </c>
      <c r="AA24" s="320"/>
      <c r="AB24" s="327"/>
    </row>
    <row r="25" spans="1:28" s="14" customFormat="1" ht="71.099999999999994" customHeight="1">
      <c r="A25" s="399"/>
      <c r="B25" s="381"/>
      <c r="C25" s="382"/>
      <c r="D25" s="401"/>
      <c r="E25" s="45" t="s">
        <v>119</v>
      </c>
      <c r="F25" s="232" t="s">
        <v>687</v>
      </c>
      <c r="G25" s="45" t="s">
        <v>113</v>
      </c>
      <c r="H25" s="45" t="s">
        <v>113</v>
      </c>
      <c r="I25" s="45" t="s">
        <v>686</v>
      </c>
      <c r="J25" s="45">
        <v>1</v>
      </c>
      <c r="K25" s="45">
        <v>0</v>
      </c>
      <c r="L25" s="45">
        <v>0</v>
      </c>
      <c r="M25" s="45">
        <v>0</v>
      </c>
      <c r="N25" s="45">
        <v>0</v>
      </c>
      <c r="O25" s="45">
        <v>0</v>
      </c>
      <c r="P25" s="122">
        <v>0</v>
      </c>
      <c r="Q25" s="95">
        <v>0</v>
      </c>
      <c r="R25" s="96">
        <v>0.04</v>
      </c>
      <c r="S25" s="97">
        <f t="shared" si="0"/>
        <v>0</v>
      </c>
      <c r="T25" s="97">
        <f t="shared" si="1"/>
        <v>0</v>
      </c>
      <c r="U25" s="97">
        <f t="shared" si="2"/>
        <v>0</v>
      </c>
      <c r="V25" s="97">
        <f t="shared" si="3"/>
        <v>0</v>
      </c>
      <c r="W25" s="97">
        <f t="shared" si="4"/>
        <v>0</v>
      </c>
      <c r="X25" s="97">
        <f t="shared" si="5"/>
        <v>0</v>
      </c>
      <c r="Y25" s="97">
        <f t="shared" si="6"/>
        <v>0</v>
      </c>
      <c r="Z25" s="98">
        <f t="shared" si="8"/>
        <v>0</v>
      </c>
      <c r="AA25" s="320"/>
      <c r="AB25" s="327"/>
    </row>
    <row r="26" spans="1:28" s="14" customFormat="1" ht="42" customHeight="1">
      <c r="A26" s="399"/>
      <c r="B26" s="381"/>
      <c r="C26" s="382"/>
      <c r="D26" s="402"/>
      <c r="E26" s="45" t="s">
        <v>174</v>
      </c>
      <c r="F26" s="232" t="s">
        <v>688</v>
      </c>
      <c r="G26" s="45" t="s">
        <v>113</v>
      </c>
      <c r="H26" s="45" t="s">
        <v>113</v>
      </c>
      <c r="I26" s="45" t="s">
        <v>686</v>
      </c>
      <c r="J26" s="15">
        <v>0.7</v>
      </c>
      <c r="K26" s="15">
        <v>1</v>
      </c>
      <c r="L26" s="15">
        <v>1</v>
      </c>
      <c r="M26" s="15">
        <v>1</v>
      </c>
      <c r="N26" s="15">
        <v>1</v>
      </c>
      <c r="O26" s="15">
        <v>1</v>
      </c>
      <c r="P26" s="108">
        <v>1</v>
      </c>
      <c r="Q26" s="95">
        <v>630000000</v>
      </c>
      <c r="R26" s="96">
        <v>0.04</v>
      </c>
      <c r="S26" s="97">
        <f t="shared" si="0"/>
        <v>630000000</v>
      </c>
      <c r="T26" s="97">
        <f t="shared" si="1"/>
        <v>655200000</v>
      </c>
      <c r="U26" s="97">
        <f t="shared" si="2"/>
        <v>681408000</v>
      </c>
      <c r="V26" s="97">
        <f t="shared" si="3"/>
        <v>708664320</v>
      </c>
      <c r="W26" s="97">
        <f t="shared" si="4"/>
        <v>737010892.80000007</v>
      </c>
      <c r="X26" s="97">
        <f t="shared" si="5"/>
        <v>766491328.51200008</v>
      </c>
      <c r="Y26" s="97">
        <f t="shared" si="6"/>
        <v>797150981.65248013</v>
      </c>
      <c r="Z26" s="98">
        <f t="shared" si="8"/>
        <v>4975925522.9644804</v>
      </c>
      <c r="AA26" s="320"/>
      <c r="AB26" s="332"/>
    </row>
  </sheetData>
  <sheetProtection algorithmName="SHA-512" hashValue="S6QhOXCrUWx6CA/z+MjhAFHV/sqYG8fn8VYnUT74K1c2TEQ2jq1xLYd6giDaR9HaHbqerzRb9RG6MhJtaUErGQ==" saltValue="RKWg4yFr2TIt0YBgx941Yw==" spinCount="100000" sheet="1" objects="1" scenarios="1"/>
  <mergeCells count="56">
    <mergeCell ref="AA16:AA18"/>
    <mergeCell ref="AA20:AA21"/>
    <mergeCell ref="AA23:AA26"/>
    <mergeCell ref="D20:D21"/>
    <mergeCell ref="D23:D26"/>
    <mergeCell ref="A20:A22"/>
    <mergeCell ref="A23:A26"/>
    <mergeCell ref="B23:B26"/>
    <mergeCell ref="C23:C26"/>
    <mergeCell ref="B20:B21"/>
    <mergeCell ref="C20:C21"/>
    <mergeCell ref="E3:E4"/>
    <mergeCell ref="A11:A18"/>
    <mergeCell ref="B11:B12"/>
    <mergeCell ref="C11:C12"/>
    <mergeCell ref="I11:I12"/>
    <mergeCell ref="B16:B18"/>
    <mergeCell ref="C16:C17"/>
    <mergeCell ref="D11:D12"/>
    <mergeCell ref="D16:D18"/>
    <mergeCell ref="A2:P2"/>
    <mergeCell ref="A1:P1"/>
    <mergeCell ref="A5:A10"/>
    <mergeCell ref="B5:B6"/>
    <mergeCell ref="B7:B8"/>
    <mergeCell ref="F3:F4"/>
    <mergeCell ref="G3:G4"/>
    <mergeCell ref="B9:B10"/>
    <mergeCell ref="C9:C10"/>
    <mergeCell ref="D9:D10"/>
    <mergeCell ref="D5:D6"/>
    <mergeCell ref="D7:D8"/>
    <mergeCell ref="A3:A4"/>
    <mergeCell ref="B3:B4"/>
    <mergeCell ref="C3:C4"/>
    <mergeCell ref="D3:D4"/>
    <mergeCell ref="J3:P3"/>
    <mergeCell ref="H3:H4"/>
    <mergeCell ref="I3:I4"/>
    <mergeCell ref="Q3:Q4"/>
    <mergeCell ref="R3:R4"/>
    <mergeCell ref="AB3:AB4"/>
    <mergeCell ref="AA9:AA10"/>
    <mergeCell ref="AA11:AA12"/>
    <mergeCell ref="S3:Y3"/>
    <mergeCell ref="Z3:Z4"/>
    <mergeCell ref="AA3:AA4"/>
    <mergeCell ref="AA5:AA6"/>
    <mergeCell ref="AA7:AA8"/>
    <mergeCell ref="AB20:AB21"/>
    <mergeCell ref="AB23:AB26"/>
    <mergeCell ref="AB5:AB6"/>
    <mergeCell ref="AB7:AB8"/>
    <mergeCell ref="AB9:AB10"/>
    <mergeCell ref="AB11:AB12"/>
    <mergeCell ref="AB16:AB18"/>
  </mergeCells>
  <pageMargins left="0.7" right="0.7" top="0.75" bottom="0.75" header="0.3" footer="0.3"/>
  <pageSetup orientation="portrait" horizontalDpi="1200" verticalDpi="1200" r:id="rId1"/>
  <ignoredErrors>
    <ignoredError sqref="Z13:Z26 AA19 AA23 T24:Y26"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0000000}">
          <x14:formula1>
            <xm:f>Hoja2!$A$1:$A$3</xm:f>
          </x14:formula1>
          <xm:sqref>E5:E26</xm:sqref>
        </x14:dataValidation>
        <x14:dataValidation type="list" allowBlank="1" showInputMessage="1" showErrorMessage="1" xr:uid="{00000000-0002-0000-0B00-000001000000}">
          <x14:formula1>
            <xm:f>Hoja2!$C$15:$C$17</xm:f>
          </x14:formula1>
          <xm:sqref>G5:G26</xm:sqref>
        </x14:dataValidation>
        <x14:dataValidation type="list" allowBlank="1" showInputMessage="1" showErrorMessage="1" xr:uid="{00000000-0002-0000-0B00-000002000000}">
          <x14:formula1>
            <xm:f>Hoja2!$E$15:$E$26</xm:f>
          </x14:formula1>
          <xm:sqref>AB5:AB26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3"/>
  <sheetViews>
    <sheetView zoomScale="80" zoomScaleNormal="80" zoomScalePageLayoutView="80" workbookViewId="0">
      <selection sqref="A1:P1"/>
    </sheetView>
  </sheetViews>
  <sheetFormatPr defaultColWidth="11" defaultRowHeight="15.75"/>
  <cols>
    <col min="1" max="1" width="28.125" customWidth="1"/>
    <col min="2" max="2" width="52.875" customWidth="1"/>
    <col min="3" max="3" width="22.125" customWidth="1"/>
    <col min="5" max="5" width="13.5" customWidth="1"/>
    <col min="6" max="6" width="31.125" customWidth="1"/>
    <col min="7" max="7" width="14.875" customWidth="1"/>
    <col min="8" max="8" width="20" customWidth="1"/>
    <col min="9" max="9" width="18.125" customWidth="1"/>
    <col min="10" max="16" width="6.375" customWidth="1"/>
    <col min="17" max="17" width="18.125" style="105" customWidth="1"/>
    <col min="18" max="18" width="7.875" customWidth="1"/>
    <col min="19" max="25" width="16.125" customWidth="1"/>
    <col min="26" max="27" width="23.625" customWidth="1"/>
    <col min="28" max="28" width="27.625" customWidth="1"/>
  </cols>
  <sheetData>
    <row r="1" spans="1:28" ht="32.1" customHeight="1">
      <c r="A1" s="347" t="s">
        <v>91</v>
      </c>
      <c r="B1" s="347"/>
      <c r="C1" s="347"/>
      <c r="D1" s="347"/>
      <c r="E1" s="347"/>
      <c r="F1" s="347"/>
      <c r="G1" s="347"/>
      <c r="H1" s="347"/>
      <c r="I1" s="347"/>
      <c r="J1" s="347"/>
      <c r="K1" s="347"/>
      <c r="L1" s="347"/>
      <c r="M1" s="347"/>
      <c r="N1" s="347"/>
      <c r="O1" s="347"/>
      <c r="P1" s="347"/>
    </row>
    <row r="2" spans="1:28" ht="16.5" thickBot="1">
      <c r="A2" s="345"/>
      <c r="B2" s="345"/>
      <c r="C2" s="345"/>
      <c r="D2" s="345"/>
      <c r="E2" s="345"/>
      <c r="F2" s="345"/>
      <c r="G2" s="345"/>
      <c r="H2" s="345"/>
      <c r="I2" s="345"/>
      <c r="J2" s="345"/>
      <c r="K2" s="345"/>
      <c r="L2" s="345"/>
      <c r="M2" s="345"/>
      <c r="N2" s="345"/>
      <c r="O2" s="345"/>
      <c r="P2" s="346"/>
      <c r="R2" s="224">
        <f>R5+1</f>
        <v>1.04</v>
      </c>
    </row>
    <row r="3" spans="1:28" ht="22.5" customHeight="1">
      <c r="A3" s="362" t="s">
        <v>92</v>
      </c>
      <c r="B3" s="324" t="s">
        <v>93</v>
      </c>
      <c r="C3" s="324" t="s">
        <v>94</v>
      </c>
      <c r="D3" s="324" t="s">
        <v>35</v>
      </c>
      <c r="E3" s="324" t="s">
        <v>95</v>
      </c>
      <c r="F3" s="324" t="s">
        <v>96</v>
      </c>
      <c r="G3" s="324" t="s">
        <v>97</v>
      </c>
      <c r="H3" s="324" t="s">
        <v>98</v>
      </c>
      <c r="I3" s="324" t="s">
        <v>99</v>
      </c>
      <c r="J3" s="420" t="s">
        <v>100</v>
      </c>
      <c r="K3" s="421"/>
      <c r="L3" s="421"/>
      <c r="M3" s="421"/>
      <c r="N3" s="421"/>
      <c r="O3" s="421"/>
      <c r="P3" s="422"/>
      <c r="Q3" s="334" t="s">
        <v>101</v>
      </c>
      <c r="R3" s="336" t="s">
        <v>102</v>
      </c>
      <c r="S3" s="338" t="s">
        <v>103</v>
      </c>
      <c r="T3" s="338"/>
      <c r="U3" s="338"/>
      <c r="V3" s="338"/>
      <c r="W3" s="338"/>
      <c r="X3" s="338"/>
      <c r="Y3" s="392"/>
      <c r="Z3" s="339" t="s">
        <v>104</v>
      </c>
      <c r="AA3" s="394" t="s">
        <v>105</v>
      </c>
      <c r="AB3" s="377" t="s">
        <v>2</v>
      </c>
    </row>
    <row r="4" spans="1:28" ht="22.5" customHeight="1" thickBot="1">
      <c r="A4" s="423"/>
      <c r="B4" s="325"/>
      <c r="C4" s="325"/>
      <c r="D4" s="325"/>
      <c r="E4" s="325"/>
      <c r="F4" s="325"/>
      <c r="G4" s="325"/>
      <c r="H4" s="325"/>
      <c r="I4" s="325"/>
      <c r="J4" s="1">
        <v>2021</v>
      </c>
      <c r="K4" s="1">
        <v>2022</v>
      </c>
      <c r="L4" s="1">
        <v>2023</v>
      </c>
      <c r="M4" s="1">
        <v>2024</v>
      </c>
      <c r="N4" s="1">
        <v>2025</v>
      </c>
      <c r="O4" s="1">
        <v>2026</v>
      </c>
      <c r="P4" s="1">
        <v>2027</v>
      </c>
      <c r="Q4" s="390"/>
      <c r="R4" s="391"/>
      <c r="S4" s="90">
        <v>2021</v>
      </c>
      <c r="T4" s="90">
        <v>2022</v>
      </c>
      <c r="U4" s="90">
        <v>2023</v>
      </c>
      <c r="V4" s="90">
        <v>2024</v>
      </c>
      <c r="W4" s="90">
        <v>2025</v>
      </c>
      <c r="X4" s="90">
        <v>2026</v>
      </c>
      <c r="Y4" s="91">
        <v>2027</v>
      </c>
      <c r="Z4" s="393"/>
      <c r="AA4" s="395"/>
      <c r="AB4" s="378"/>
    </row>
    <row r="5" spans="1:28" s="14" customFormat="1" ht="51" customHeight="1">
      <c r="A5" s="397" t="s">
        <v>689</v>
      </c>
      <c r="B5" s="386" t="s">
        <v>690</v>
      </c>
      <c r="C5" s="387" t="s">
        <v>691</v>
      </c>
      <c r="D5" s="400" t="s">
        <v>692</v>
      </c>
      <c r="E5" s="11" t="s">
        <v>119</v>
      </c>
      <c r="F5" s="246" t="s">
        <v>693</v>
      </c>
      <c r="G5" s="11" t="s">
        <v>113</v>
      </c>
      <c r="H5" s="11" t="s">
        <v>113</v>
      </c>
      <c r="I5" s="11">
        <v>0</v>
      </c>
      <c r="J5" s="13">
        <v>1</v>
      </c>
      <c r="K5" s="11">
        <v>0</v>
      </c>
      <c r="L5" s="11">
        <v>0</v>
      </c>
      <c r="M5" s="11">
        <v>0</v>
      </c>
      <c r="N5" s="11">
        <v>0</v>
      </c>
      <c r="O5" s="11">
        <v>0</v>
      </c>
      <c r="P5" s="2">
        <v>0</v>
      </c>
      <c r="Q5" s="92">
        <v>0</v>
      </c>
      <c r="R5" s="93">
        <v>0.04</v>
      </c>
      <c r="S5" s="97">
        <f t="shared" ref="S5:S16" si="0">IF(J5&lt;&gt;0,Q5,0)</f>
        <v>0</v>
      </c>
      <c r="T5" s="97">
        <f t="shared" ref="T5:T16" si="1">IF(K5&lt;&gt;0,(IF(S5&lt;&gt;0,(S5*$R$2),($Q5*$R$2))),0)</f>
        <v>0</v>
      </c>
      <c r="U5" s="97">
        <f t="shared" ref="U5:U16" si="2">IF(L5&lt;&gt;0,(IF(T5&lt;&gt;0,(T5*$R$2),(($Q5*$R$2)*$R$2))),0)</f>
        <v>0</v>
      </c>
      <c r="V5" s="97">
        <f t="shared" ref="V5:V16" si="3">IF(M5&lt;&gt;0,(IF(U5&lt;&gt;0,(U5*$R$2),(($Q5*$R$2)*$R$2*$R$2))),0)</f>
        <v>0</v>
      </c>
      <c r="W5" s="97">
        <f t="shared" ref="W5:W16" si="4">IF(N5&lt;&gt;0,(IF(V5&lt;&gt;0,(V5*$R$2),(($Q5*$R$2)*$R$2*$R$2*$R$2))),0)</f>
        <v>0</v>
      </c>
      <c r="X5" s="97">
        <f t="shared" ref="X5:X16" si="5">IF(O5&lt;&gt;0,(IF(W5&lt;&gt;0,(W5*$R$2),(($Q5*$R$2)*$R$2*$R$2*$R$2*$R$2))),0)</f>
        <v>0</v>
      </c>
      <c r="Y5" s="97">
        <f t="shared" ref="Y5:Y16" si="6">IF(P5&lt;&gt;0,(IF(X5&lt;&gt;0,(X5*$R$2),(($Q5*$R$2)*$R$2*$R$2*$R$2*$R$2*$R$2))),0)</f>
        <v>0</v>
      </c>
      <c r="Z5" s="94">
        <f>SUM(S5:Y5)</f>
        <v>0</v>
      </c>
      <c r="AA5" s="341">
        <f>SUM(Z5:Z9)</f>
        <v>0</v>
      </c>
      <c r="AB5" s="333" t="s">
        <v>15</v>
      </c>
    </row>
    <row r="6" spans="1:28" s="14" customFormat="1" ht="54" customHeight="1">
      <c r="A6" s="399"/>
      <c r="B6" s="381"/>
      <c r="C6" s="382"/>
      <c r="D6" s="401"/>
      <c r="E6" s="45" t="s">
        <v>110</v>
      </c>
      <c r="F6" s="232" t="s">
        <v>694</v>
      </c>
      <c r="G6" s="45" t="s">
        <v>113</v>
      </c>
      <c r="H6" s="45" t="s">
        <v>113</v>
      </c>
      <c r="I6" s="45" t="s">
        <v>695</v>
      </c>
      <c r="J6" s="45">
        <v>2.5</v>
      </c>
      <c r="K6" s="45">
        <v>2.5</v>
      </c>
      <c r="L6" s="45">
        <v>2.5</v>
      </c>
      <c r="M6" s="45">
        <v>2.5</v>
      </c>
      <c r="N6" s="45">
        <v>2.5</v>
      </c>
      <c r="O6" s="45">
        <v>2.5</v>
      </c>
      <c r="P6" s="3">
        <v>2.5</v>
      </c>
      <c r="Q6" s="95">
        <v>0</v>
      </c>
      <c r="R6" s="96">
        <v>0.04</v>
      </c>
      <c r="S6" s="97">
        <f t="shared" si="0"/>
        <v>0</v>
      </c>
      <c r="T6" s="97">
        <f t="shared" si="1"/>
        <v>0</v>
      </c>
      <c r="U6" s="97">
        <f t="shared" si="2"/>
        <v>0</v>
      </c>
      <c r="V6" s="97">
        <f t="shared" si="3"/>
        <v>0</v>
      </c>
      <c r="W6" s="97">
        <f t="shared" si="4"/>
        <v>0</v>
      </c>
      <c r="X6" s="97">
        <f t="shared" si="5"/>
        <v>0</v>
      </c>
      <c r="Y6" s="97">
        <f t="shared" si="6"/>
        <v>0</v>
      </c>
      <c r="Z6" s="98">
        <f t="shared" ref="Z6:Z16" si="7">SUM(S6:Y6)</f>
        <v>0</v>
      </c>
      <c r="AA6" s="299"/>
      <c r="AB6" s="327"/>
    </row>
    <row r="7" spans="1:28" s="14" customFormat="1" ht="48.75" customHeight="1">
      <c r="A7" s="399"/>
      <c r="B7" s="381"/>
      <c r="C7" s="382"/>
      <c r="D7" s="401"/>
      <c r="E7" s="45" t="s">
        <v>110</v>
      </c>
      <c r="F7" s="254" t="s">
        <v>696</v>
      </c>
      <c r="G7" s="50" t="s">
        <v>113</v>
      </c>
      <c r="H7" s="45" t="s">
        <v>113</v>
      </c>
      <c r="I7" s="51">
        <v>0.9</v>
      </c>
      <c r="J7" s="15">
        <v>0.91</v>
      </c>
      <c r="K7" s="15">
        <v>0.91</v>
      </c>
      <c r="L7" s="15">
        <v>0.91</v>
      </c>
      <c r="M7" s="15">
        <v>0.91</v>
      </c>
      <c r="N7" s="15">
        <v>0.91</v>
      </c>
      <c r="O7" s="15">
        <v>0.91</v>
      </c>
      <c r="P7" s="16">
        <v>0.91</v>
      </c>
      <c r="Q7" s="95">
        <v>0</v>
      </c>
      <c r="R7" s="96">
        <v>0.04</v>
      </c>
      <c r="S7" s="97">
        <f t="shared" si="0"/>
        <v>0</v>
      </c>
      <c r="T7" s="97">
        <f t="shared" si="1"/>
        <v>0</v>
      </c>
      <c r="U7" s="97">
        <f t="shared" si="2"/>
        <v>0</v>
      </c>
      <c r="V7" s="97">
        <f t="shared" si="3"/>
        <v>0</v>
      </c>
      <c r="W7" s="97">
        <f t="shared" si="4"/>
        <v>0</v>
      </c>
      <c r="X7" s="97">
        <f t="shared" si="5"/>
        <v>0</v>
      </c>
      <c r="Y7" s="97">
        <f t="shared" si="6"/>
        <v>0</v>
      </c>
      <c r="Z7" s="98">
        <f t="shared" si="7"/>
        <v>0</v>
      </c>
      <c r="AA7" s="299"/>
      <c r="AB7" s="327"/>
    </row>
    <row r="8" spans="1:28" s="14" customFormat="1" ht="48.75" customHeight="1">
      <c r="A8" s="399"/>
      <c r="B8" s="381"/>
      <c r="C8" s="382"/>
      <c r="D8" s="401"/>
      <c r="E8" s="45" t="s">
        <v>110</v>
      </c>
      <c r="F8" s="231" t="s">
        <v>697</v>
      </c>
      <c r="G8" s="45" t="s">
        <v>113</v>
      </c>
      <c r="H8" s="45" t="s">
        <v>113</v>
      </c>
      <c r="I8" s="15">
        <v>0.86</v>
      </c>
      <c r="J8" s="21">
        <v>0.87</v>
      </c>
      <c r="K8" s="21">
        <v>0.87</v>
      </c>
      <c r="L8" s="21">
        <v>0.87</v>
      </c>
      <c r="M8" s="21">
        <v>0.87</v>
      </c>
      <c r="N8" s="21">
        <v>0.87</v>
      </c>
      <c r="O8" s="21">
        <v>0.87</v>
      </c>
      <c r="P8" s="52">
        <v>0.87</v>
      </c>
      <c r="Q8" s="95">
        <v>0</v>
      </c>
      <c r="R8" s="96">
        <v>0.04</v>
      </c>
      <c r="S8" s="97">
        <f t="shared" si="0"/>
        <v>0</v>
      </c>
      <c r="T8" s="97">
        <f t="shared" si="1"/>
        <v>0</v>
      </c>
      <c r="U8" s="97">
        <f t="shared" si="2"/>
        <v>0</v>
      </c>
      <c r="V8" s="97">
        <f t="shared" si="3"/>
        <v>0</v>
      </c>
      <c r="W8" s="97">
        <f t="shared" si="4"/>
        <v>0</v>
      </c>
      <c r="X8" s="97">
        <f t="shared" si="5"/>
        <v>0</v>
      </c>
      <c r="Y8" s="97">
        <f t="shared" si="6"/>
        <v>0</v>
      </c>
      <c r="Z8" s="98">
        <f t="shared" si="7"/>
        <v>0</v>
      </c>
      <c r="AA8" s="299"/>
      <c r="AB8" s="327"/>
    </row>
    <row r="9" spans="1:28" s="14" customFormat="1" ht="49.5" customHeight="1">
      <c r="A9" s="399"/>
      <c r="B9" s="381"/>
      <c r="C9" s="382"/>
      <c r="D9" s="402"/>
      <c r="E9" s="45" t="s">
        <v>110</v>
      </c>
      <c r="F9" s="232" t="s">
        <v>698</v>
      </c>
      <c r="G9" s="45" t="s">
        <v>113</v>
      </c>
      <c r="H9" s="45" t="s">
        <v>113</v>
      </c>
      <c r="I9" s="45" t="s">
        <v>699</v>
      </c>
      <c r="J9" s="15">
        <v>0.56999999999999995</v>
      </c>
      <c r="K9" s="15">
        <v>0.56999999999999995</v>
      </c>
      <c r="L9" s="15">
        <v>0.56999999999999995</v>
      </c>
      <c r="M9" s="15">
        <v>0.56999999999999995</v>
      </c>
      <c r="N9" s="15">
        <v>0.56999999999999995</v>
      </c>
      <c r="O9" s="15">
        <v>0.56999999999999995</v>
      </c>
      <c r="P9" s="16">
        <v>0.56999999999999995</v>
      </c>
      <c r="Q9" s="95">
        <v>0</v>
      </c>
      <c r="R9" s="96">
        <v>0.04</v>
      </c>
      <c r="S9" s="97">
        <f t="shared" si="0"/>
        <v>0</v>
      </c>
      <c r="T9" s="97">
        <f t="shared" si="1"/>
        <v>0</v>
      </c>
      <c r="U9" s="97">
        <f t="shared" si="2"/>
        <v>0</v>
      </c>
      <c r="V9" s="97">
        <f t="shared" si="3"/>
        <v>0</v>
      </c>
      <c r="W9" s="97">
        <f t="shared" si="4"/>
        <v>0</v>
      </c>
      <c r="X9" s="97">
        <f t="shared" si="5"/>
        <v>0</v>
      </c>
      <c r="Y9" s="97">
        <f t="shared" si="6"/>
        <v>0</v>
      </c>
      <c r="Z9" s="98">
        <f t="shared" si="7"/>
        <v>0</v>
      </c>
      <c r="AA9" s="299"/>
      <c r="AB9" s="332"/>
    </row>
    <row r="10" spans="1:28" s="14" customFormat="1" ht="93" customHeight="1" thickBot="1">
      <c r="A10" s="398"/>
      <c r="B10" s="235" t="s">
        <v>700</v>
      </c>
      <c r="C10" s="9" t="s">
        <v>701</v>
      </c>
      <c r="D10" s="9" t="s">
        <v>362</v>
      </c>
      <c r="E10" s="9" t="s">
        <v>119</v>
      </c>
      <c r="F10" s="250" t="s">
        <v>702</v>
      </c>
      <c r="G10" s="9" t="s">
        <v>113</v>
      </c>
      <c r="H10" s="9" t="s">
        <v>113</v>
      </c>
      <c r="I10" s="9" t="s">
        <v>703</v>
      </c>
      <c r="J10" s="72">
        <v>1</v>
      </c>
      <c r="K10" s="72">
        <v>2</v>
      </c>
      <c r="L10" s="72">
        <v>2</v>
      </c>
      <c r="M10" s="72">
        <v>3</v>
      </c>
      <c r="N10" s="72">
        <v>3</v>
      </c>
      <c r="O10" s="72">
        <v>3</v>
      </c>
      <c r="P10" s="24">
        <v>3</v>
      </c>
      <c r="Q10" s="99">
        <v>0</v>
      </c>
      <c r="R10" s="100">
        <v>0.04</v>
      </c>
      <c r="S10" s="103">
        <f t="shared" si="0"/>
        <v>0</v>
      </c>
      <c r="T10" s="103">
        <f t="shared" si="1"/>
        <v>0</v>
      </c>
      <c r="U10" s="103">
        <f t="shared" si="2"/>
        <v>0</v>
      </c>
      <c r="V10" s="103">
        <f t="shared" si="3"/>
        <v>0</v>
      </c>
      <c r="W10" s="103">
        <f t="shared" si="4"/>
        <v>0</v>
      </c>
      <c r="X10" s="103">
        <f t="shared" si="5"/>
        <v>0</v>
      </c>
      <c r="Y10" s="103">
        <f t="shared" si="6"/>
        <v>0</v>
      </c>
      <c r="Z10" s="101">
        <f t="shared" si="7"/>
        <v>0</v>
      </c>
      <c r="AA10" s="192">
        <f>Z10</f>
        <v>0</v>
      </c>
      <c r="AB10" s="189" t="s">
        <v>15</v>
      </c>
    </row>
    <row r="11" spans="1:28" s="14" customFormat="1" ht="71.25" customHeight="1">
      <c r="A11" s="397" t="s">
        <v>704</v>
      </c>
      <c r="B11" s="386" t="s">
        <v>705</v>
      </c>
      <c r="C11" s="387" t="s">
        <v>706</v>
      </c>
      <c r="D11" s="400" t="s">
        <v>362</v>
      </c>
      <c r="E11" s="11" t="s">
        <v>174</v>
      </c>
      <c r="F11" s="246" t="s">
        <v>707</v>
      </c>
      <c r="G11" s="11" t="s">
        <v>113</v>
      </c>
      <c r="H11" s="11" t="s">
        <v>113</v>
      </c>
      <c r="I11" s="11" t="s">
        <v>708</v>
      </c>
      <c r="J11" s="11">
        <v>1</v>
      </c>
      <c r="K11" s="11">
        <v>2</v>
      </c>
      <c r="L11" s="11">
        <v>2</v>
      </c>
      <c r="M11" s="11">
        <v>2</v>
      </c>
      <c r="N11" s="11">
        <v>2</v>
      </c>
      <c r="O11" s="11">
        <v>2</v>
      </c>
      <c r="P11" s="120">
        <v>2</v>
      </c>
      <c r="Q11" s="92">
        <v>1000000</v>
      </c>
      <c r="R11" s="93">
        <v>0.04</v>
      </c>
      <c r="S11" s="128">
        <f t="shared" si="0"/>
        <v>1000000</v>
      </c>
      <c r="T11" s="128">
        <f t="shared" si="1"/>
        <v>1040000</v>
      </c>
      <c r="U11" s="128">
        <f t="shared" si="2"/>
        <v>1081600</v>
      </c>
      <c r="V11" s="128">
        <f t="shared" si="3"/>
        <v>1124864</v>
      </c>
      <c r="W11" s="128">
        <f t="shared" si="4"/>
        <v>1169858.5600000001</v>
      </c>
      <c r="X11" s="128">
        <f t="shared" si="5"/>
        <v>1216652.9024</v>
      </c>
      <c r="Y11" s="128">
        <f t="shared" si="6"/>
        <v>1265319.018496</v>
      </c>
      <c r="Z11" s="94">
        <f t="shared" si="7"/>
        <v>7898294.4808960008</v>
      </c>
      <c r="AA11" s="344">
        <f>SUM(Z11:Z13)</f>
        <v>165864184.09881598</v>
      </c>
      <c r="AB11" s="331" t="s">
        <v>9</v>
      </c>
    </row>
    <row r="12" spans="1:28" s="14" customFormat="1" ht="55.5" customHeight="1">
      <c r="A12" s="399"/>
      <c r="B12" s="381"/>
      <c r="C12" s="382"/>
      <c r="D12" s="401"/>
      <c r="E12" s="45" t="s">
        <v>119</v>
      </c>
      <c r="F12" s="232" t="s">
        <v>709</v>
      </c>
      <c r="G12" s="45" t="s">
        <v>113</v>
      </c>
      <c r="H12" s="45" t="s">
        <v>113</v>
      </c>
      <c r="I12" s="45" t="s">
        <v>708</v>
      </c>
      <c r="J12" s="45">
        <v>1</v>
      </c>
      <c r="K12" s="45">
        <v>1</v>
      </c>
      <c r="L12" s="45">
        <v>1</v>
      </c>
      <c r="M12" s="45">
        <v>1</v>
      </c>
      <c r="N12" s="45">
        <v>1</v>
      </c>
      <c r="O12" s="45">
        <v>1</v>
      </c>
      <c r="P12" s="122">
        <v>1</v>
      </c>
      <c r="Q12" s="95">
        <v>0</v>
      </c>
      <c r="R12" s="96">
        <v>0.04</v>
      </c>
      <c r="S12" s="97">
        <f t="shared" si="0"/>
        <v>0</v>
      </c>
      <c r="T12" s="97">
        <f t="shared" si="1"/>
        <v>0</v>
      </c>
      <c r="U12" s="97">
        <f t="shared" si="2"/>
        <v>0</v>
      </c>
      <c r="V12" s="97">
        <f t="shared" si="3"/>
        <v>0</v>
      </c>
      <c r="W12" s="97">
        <f t="shared" si="4"/>
        <v>0</v>
      </c>
      <c r="X12" s="97">
        <f t="shared" si="5"/>
        <v>0</v>
      </c>
      <c r="Y12" s="97">
        <f t="shared" si="6"/>
        <v>0</v>
      </c>
      <c r="Z12" s="98">
        <f t="shared" si="7"/>
        <v>0</v>
      </c>
      <c r="AA12" s="301"/>
      <c r="AB12" s="327"/>
    </row>
    <row r="13" spans="1:28" s="14" customFormat="1" ht="87.75" customHeight="1" thickBot="1">
      <c r="A13" s="398"/>
      <c r="B13" s="383"/>
      <c r="C13" s="379"/>
      <c r="D13" s="380"/>
      <c r="E13" s="9" t="s">
        <v>174</v>
      </c>
      <c r="F13" s="235" t="s">
        <v>710</v>
      </c>
      <c r="G13" s="9" t="s">
        <v>113</v>
      </c>
      <c r="H13" s="9" t="s">
        <v>113</v>
      </c>
      <c r="I13" s="9" t="s">
        <v>708</v>
      </c>
      <c r="J13" s="9">
        <v>1</v>
      </c>
      <c r="K13" s="9">
        <v>2</v>
      </c>
      <c r="L13" s="9">
        <v>2</v>
      </c>
      <c r="M13" s="9">
        <v>3</v>
      </c>
      <c r="N13" s="9">
        <v>3</v>
      </c>
      <c r="O13" s="9">
        <v>4</v>
      </c>
      <c r="P13" s="116">
        <v>4</v>
      </c>
      <c r="Q13" s="99">
        <v>20000000</v>
      </c>
      <c r="R13" s="100">
        <v>0.04</v>
      </c>
      <c r="S13" s="103">
        <f t="shared" si="0"/>
        <v>20000000</v>
      </c>
      <c r="T13" s="103">
        <f t="shared" si="1"/>
        <v>20800000</v>
      </c>
      <c r="U13" s="103">
        <f t="shared" si="2"/>
        <v>21632000</v>
      </c>
      <c r="V13" s="103">
        <f t="shared" si="3"/>
        <v>22497280</v>
      </c>
      <c r="W13" s="103">
        <f t="shared" si="4"/>
        <v>23397171.199999999</v>
      </c>
      <c r="X13" s="103">
        <f t="shared" si="5"/>
        <v>24333058.048</v>
      </c>
      <c r="Y13" s="103">
        <f t="shared" si="6"/>
        <v>25306380.36992</v>
      </c>
      <c r="Z13" s="101">
        <f t="shared" si="7"/>
        <v>157965889.61791998</v>
      </c>
      <c r="AA13" s="301"/>
      <c r="AB13" s="328"/>
    </row>
    <row r="14" spans="1:28" s="14" customFormat="1" ht="96.75" customHeight="1">
      <c r="A14" s="397" t="s">
        <v>711</v>
      </c>
      <c r="B14" s="246" t="s">
        <v>712</v>
      </c>
      <c r="C14" s="11" t="s">
        <v>713</v>
      </c>
      <c r="D14" s="11" t="s">
        <v>277</v>
      </c>
      <c r="E14" s="11" t="s">
        <v>174</v>
      </c>
      <c r="F14" s="246" t="s">
        <v>714</v>
      </c>
      <c r="G14" s="11" t="s">
        <v>113</v>
      </c>
      <c r="H14" s="11" t="s">
        <v>113</v>
      </c>
      <c r="I14" s="11" t="s">
        <v>715</v>
      </c>
      <c r="J14" s="11">
        <v>2</v>
      </c>
      <c r="K14" s="11">
        <v>2</v>
      </c>
      <c r="L14" s="11">
        <v>2</v>
      </c>
      <c r="M14" s="11">
        <v>2</v>
      </c>
      <c r="N14" s="11">
        <v>2</v>
      </c>
      <c r="O14" s="11">
        <v>3</v>
      </c>
      <c r="P14" s="120">
        <v>3</v>
      </c>
      <c r="Q14" s="92">
        <v>500000000</v>
      </c>
      <c r="R14" s="93">
        <v>0.04</v>
      </c>
      <c r="S14" s="128">
        <f t="shared" si="0"/>
        <v>500000000</v>
      </c>
      <c r="T14" s="128">
        <f t="shared" si="1"/>
        <v>520000000</v>
      </c>
      <c r="U14" s="128">
        <f t="shared" si="2"/>
        <v>540800000</v>
      </c>
      <c r="V14" s="128">
        <f t="shared" si="3"/>
        <v>562432000</v>
      </c>
      <c r="W14" s="128">
        <f t="shared" si="4"/>
        <v>584929280</v>
      </c>
      <c r="X14" s="128">
        <f t="shared" si="5"/>
        <v>608326451.20000005</v>
      </c>
      <c r="Y14" s="128">
        <f t="shared" si="6"/>
        <v>632659509.24800003</v>
      </c>
      <c r="Z14" s="94">
        <f t="shared" si="7"/>
        <v>3949147240.448</v>
      </c>
      <c r="AA14" s="186">
        <f>Z14</f>
        <v>3949147240.448</v>
      </c>
      <c r="AB14" s="191" t="s">
        <v>9</v>
      </c>
    </row>
    <row r="15" spans="1:28" s="14" customFormat="1" ht="75.75" customHeight="1">
      <c r="A15" s="399"/>
      <c r="B15" s="381" t="s">
        <v>716</v>
      </c>
      <c r="C15" s="382" t="s">
        <v>717</v>
      </c>
      <c r="D15" s="379" t="s">
        <v>378</v>
      </c>
      <c r="E15" s="45" t="s">
        <v>119</v>
      </c>
      <c r="F15" s="232" t="s">
        <v>718</v>
      </c>
      <c r="G15" s="45" t="s">
        <v>113</v>
      </c>
      <c r="H15" s="45" t="s">
        <v>113</v>
      </c>
      <c r="I15" s="45">
        <v>0</v>
      </c>
      <c r="J15" s="45">
        <v>1</v>
      </c>
      <c r="K15" s="45">
        <v>0</v>
      </c>
      <c r="L15" s="45">
        <v>0</v>
      </c>
      <c r="M15" s="45">
        <v>0</v>
      </c>
      <c r="N15" s="45">
        <v>0</v>
      </c>
      <c r="O15" s="45">
        <v>0</v>
      </c>
      <c r="P15" s="122">
        <v>0</v>
      </c>
      <c r="Q15" s="99">
        <v>0</v>
      </c>
      <c r="R15" s="96">
        <v>0.04</v>
      </c>
      <c r="S15" s="97">
        <f t="shared" si="0"/>
        <v>0</v>
      </c>
      <c r="T15" s="97">
        <f t="shared" si="1"/>
        <v>0</v>
      </c>
      <c r="U15" s="97">
        <f t="shared" si="2"/>
        <v>0</v>
      </c>
      <c r="V15" s="97">
        <f t="shared" si="3"/>
        <v>0</v>
      </c>
      <c r="W15" s="97">
        <f t="shared" si="4"/>
        <v>0</v>
      </c>
      <c r="X15" s="97">
        <f t="shared" si="5"/>
        <v>0</v>
      </c>
      <c r="Y15" s="97">
        <f t="shared" si="6"/>
        <v>0</v>
      </c>
      <c r="Z15" s="98">
        <f t="shared" si="7"/>
        <v>0</v>
      </c>
      <c r="AA15" s="299">
        <f>SUM(Z15:Z16)</f>
        <v>689829448.08960009</v>
      </c>
      <c r="AB15" s="333" t="s">
        <v>9</v>
      </c>
    </row>
    <row r="16" spans="1:28" s="14" customFormat="1" ht="57" customHeight="1" thickBot="1">
      <c r="A16" s="405"/>
      <c r="B16" s="384"/>
      <c r="C16" s="385"/>
      <c r="D16" s="380"/>
      <c r="E16" s="8" t="s">
        <v>174</v>
      </c>
      <c r="F16" s="247" t="s">
        <v>719</v>
      </c>
      <c r="G16" s="8" t="s">
        <v>113</v>
      </c>
      <c r="H16" s="8" t="s">
        <v>140</v>
      </c>
      <c r="I16" s="8" t="s">
        <v>720</v>
      </c>
      <c r="J16" s="8">
        <v>0</v>
      </c>
      <c r="K16" s="5">
        <v>0.3</v>
      </c>
      <c r="L16" s="5">
        <v>0.4</v>
      </c>
      <c r="M16" s="5">
        <v>0.5</v>
      </c>
      <c r="N16" s="5">
        <v>0.6</v>
      </c>
      <c r="O16" s="5">
        <v>0.8</v>
      </c>
      <c r="P16" s="149">
        <v>1</v>
      </c>
      <c r="Q16" s="130">
        <v>100000000</v>
      </c>
      <c r="R16" s="102">
        <v>0.04</v>
      </c>
      <c r="S16" s="103">
        <f t="shared" si="0"/>
        <v>0</v>
      </c>
      <c r="T16" s="103">
        <f t="shared" si="1"/>
        <v>104000000</v>
      </c>
      <c r="U16" s="103">
        <f t="shared" si="2"/>
        <v>108160000</v>
      </c>
      <c r="V16" s="103">
        <f t="shared" si="3"/>
        <v>112486400</v>
      </c>
      <c r="W16" s="103">
        <f t="shared" si="4"/>
        <v>116985856</v>
      </c>
      <c r="X16" s="103">
        <f t="shared" si="5"/>
        <v>121665290.24000001</v>
      </c>
      <c r="Y16" s="103">
        <f t="shared" si="6"/>
        <v>126531901.84960002</v>
      </c>
      <c r="Z16" s="104">
        <f t="shared" si="7"/>
        <v>689829448.08960009</v>
      </c>
      <c r="AA16" s="389"/>
      <c r="AB16" s="328"/>
    </row>
    <row r="17" spans="1:16" ht="27.95" customHeight="1"/>
    <row r="18" spans="1:16" ht="21" customHeight="1">
      <c r="A18" s="396"/>
      <c r="B18" s="396"/>
      <c r="C18" s="396"/>
      <c r="D18" s="396"/>
      <c r="E18" s="396"/>
      <c r="F18" s="396"/>
      <c r="G18" s="396"/>
      <c r="H18" s="396"/>
      <c r="I18" s="396"/>
      <c r="J18" s="396"/>
      <c r="K18" s="396"/>
      <c r="L18" s="396"/>
      <c r="M18" s="396"/>
      <c r="N18" s="396"/>
      <c r="O18" s="396"/>
      <c r="P18" s="396"/>
    </row>
    <row r="19" spans="1:16" ht="18.95" customHeight="1"/>
    <row r="20" spans="1:16" ht="65.25" customHeight="1"/>
    <row r="21" spans="1:16" ht="60.75" customHeight="1"/>
    <row r="22" spans="1:16" ht="55.5" customHeight="1"/>
    <row r="23" spans="1:16" ht="81.75" customHeight="1"/>
  </sheetData>
  <sheetProtection algorithmName="SHA-512" hashValue="MrqAOqsNhdUebJAPQGdvAhHDB4mQ29W5/+nI7MVOT5s1O0Y6CHm1QOvTY8itKeful4DkabTMV5lhDbLkoaktJA==" saltValue="s9q9hvT8TQwhBOuwmroxBg==" spinCount="100000" sheet="1" objects="1" scenarios="1"/>
  <mergeCells count="37">
    <mergeCell ref="AA5:AA9"/>
    <mergeCell ref="AA15:AA16"/>
    <mergeCell ref="AA11:AA13"/>
    <mergeCell ref="Q3:Q4"/>
    <mergeCell ref="R3:R4"/>
    <mergeCell ref="S3:Y3"/>
    <mergeCell ref="Z3:Z4"/>
    <mergeCell ref="AA3:AA4"/>
    <mergeCell ref="J3:P3"/>
    <mergeCell ref="G3:G4"/>
    <mergeCell ref="D11:D13"/>
    <mergeCell ref="A1:P1"/>
    <mergeCell ref="A3:A4"/>
    <mergeCell ref="B3:B4"/>
    <mergeCell ref="C3:C4"/>
    <mergeCell ref="D3:D4"/>
    <mergeCell ref="E3:E4"/>
    <mergeCell ref="A2:P2"/>
    <mergeCell ref="H3:H4"/>
    <mergeCell ref="I3:I4"/>
    <mergeCell ref="D5:D9"/>
    <mergeCell ref="AB3:AB4"/>
    <mergeCell ref="A18:P18"/>
    <mergeCell ref="A11:A13"/>
    <mergeCell ref="B11:B13"/>
    <mergeCell ref="C11:C13"/>
    <mergeCell ref="A14:A16"/>
    <mergeCell ref="B15:B16"/>
    <mergeCell ref="C15:C16"/>
    <mergeCell ref="A5:A10"/>
    <mergeCell ref="B5:B9"/>
    <mergeCell ref="C5:C9"/>
    <mergeCell ref="F3:F4"/>
    <mergeCell ref="AB5:AB9"/>
    <mergeCell ref="AB11:AB13"/>
    <mergeCell ref="AB15:AB16"/>
    <mergeCell ref="D15:D16"/>
  </mergeCells>
  <pageMargins left="0.7" right="0.7" top="0.75" bottom="0.75" header="0.3" footer="0.3"/>
  <pageSetup orientation="portrait" horizontalDpi="1200" verticalDpi="1200" r:id="rId1"/>
  <ignoredErrors>
    <ignoredError sqref="Z13:Z16 AA11:AA13"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C00-000000000000}">
          <x14:formula1>
            <xm:f>Hoja2!$C$15:$C$17</xm:f>
          </x14:formula1>
          <xm:sqref>G5:G16</xm:sqref>
        </x14:dataValidation>
        <x14:dataValidation type="list" allowBlank="1" showInputMessage="1" showErrorMessage="1" xr:uid="{00000000-0002-0000-0C00-000001000000}">
          <x14:formula1>
            <xm:f>Hoja2!$A$1:$A$3</xm:f>
          </x14:formula1>
          <xm:sqref>E5:E16</xm:sqref>
        </x14:dataValidation>
        <x14:dataValidation type="list" allowBlank="1" showInputMessage="1" showErrorMessage="1" xr:uid="{00000000-0002-0000-0C00-000002000000}">
          <x14:formula1>
            <xm:f>Hoja2!$E$15:$E$26</xm:f>
          </x14:formula1>
          <xm:sqref>AB5:AB16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29"/>
  <sheetViews>
    <sheetView zoomScale="80" zoomScaleNormal="80" zoomScalePageLayoutView="50" workbookViewId="0">
      <selection sqref="A1:P1"/>
    </sheetView>
  </sheetViews>
  <sheetFormatPr defaultColWidth="11" defaultRowHeight="15.75"/>
  <cols>
    <col min="1" max="1" width="28.125" customWidth="1"/>
    <col min="2" max="2" width="52.875" customWidth="1"/>
    <col min="3" max="3" width="22.125" customWidth="1"/>
    <col min="4" max="4" width="11" customWidth="1"/>
    <col min="5" max="5" width="13.5" customWidth="1"/>
    <col min="6" max="6" width="31.125" customWidth="1"/>
    <col min="7" max="7" width="14.875" customWidth="1"/>
    <col min="8" max="8" width="21.125" customWidth="1"/>
    <col min="9" max="9" width="22.875" customWidth="1"/>
    <col min="10" max="16" width="7.125" customWidth="1"/>
    <col min="17" max="17" width="18.125" style="105" customWidth="1"/>
    <col min="18" max="18" width="7.875" customWidth="1"/>
    <col min="19" max="25" width="16.125" customWidth="1"/>
    <col min="26" max="27" width="23.625" customWidth="1"/>
    <col min="28" max="28" width="27.625" customWidth="1"/>
  </cols>
  <sheetData>
    <row r="1" spans="1:28" ht="32.1" customHeight="1">
      <c r="A1" s="347" t="s">
        <v>91</v>
      </c>
      <c r="B1" s="347"/>
      <c r="C1" s="347"/>
      <c r="D1" s="347"/>
      <c r="E1" s="347"/>
      <c r="F1" s="347"/>
      <c r="G1" s="347"/>
      <c r="H1" s="347"/>
      <c r="I1" s="347"/>
      <c r="J1" s="347"/>
      <c r="K1" s="347"/>
      <c r="L1" s="347"/>
      <c r="M1" s="347"/>
      <c r="N1" s="347"/>
      <c r="O1" s="347"/>
      <c r="P1" s="347"/>
    </row>
    <row r="2" spans="1:28" ht="16.5" thickBot="1">
      <c r="A2" s="345"/>
      <c r="B2" s="345"/>
      <c r="C2" s="345"/>
      <c r="D2" s="345"/>
      <c r="E2" s="345"/>
      <c r="F2" s="345"/>
      <c r="G2" s="345"/>
      <c r="H2" s="345"/>
      <c r="I2" s="345"/>
      <c r="J2" s="345"/>
      <c r="K2" s="345"/>
      <c r="L2" s="345"/>
      <c r="M2" s="345"/>
      <c r="N2" s="345"/>
      <c r="O2" s="345"/>
      <c r="P2" s="346"/>
      <c r="R2" s="224">
        <f>R5+1</f>
        <v>1.04</v>
      </c>
    </row>
    <row r="3" spans="1:28" ht="22.5" customHeight="1">
      <c r="A3" s="362" t="s">
        <v>92</v>
      </c>
      <c r="B3" s="324" t="s">
        <v>93</v>
      </c>
      <c r="C3" s="324" t="s">
        <v>94</v>
      </c>
      <c r="D3" s="324" t="s">
        <v>35</v>
      </c>
      <c r="E3" s="324" t="s">
        <v>95</v>
      </c>
      <c r="F3" s="324" t="s">
        <v>96</v>
      </c>
      <c r="G3" s="324" t="s">
        <v>97</v>
      </c>
      <c r="H3" s="324" t="s">
        <v>98</v>
      </c>
      <c r="I3" s="324" t="s">
        <v>99</v>
      </c>
      <c r="J3" s="420" t="s">
        <v>100</v>
      </c>
      <c r="K3" s="421"/>
      <c r="L3" s="421"/>
      <c r="M3" s="421"/>
      <c r="N3" s="421"/>
      <c r="O3" s="421"/>
      <c r="P3" s="422"/>
      <c r="Q3" s="334" t="s">
        <v>101</v>
      </c>
      <c r="R3" s="336" t="s">
        <v>102</v>
      </c>
      <c r="S3" s="338" t="s">
        <v>103</v>
      </c>
      <c r="T3" s="338"/>
      <c r="U3" s="338"/>
      <c r="V3" s="338"/>
      <c r="W3" s="338"/>
      <c r="X3" s="338"/>
      <c r="Y3" s="392"/>
      <c r="Z3" s="339" t="s">
        <v>104</v>
      </c>
      <c r="AA3" s="394" t="s">
        <v>105</v>
      </c>
      <c r="AB3" s="377" t="s">
        <v>2</v>
      </c>
    </row>
    <row r="4" spans="1:28" ht="22.5" customHeight="1" thickBot="1">
      <c r="A4" s="433"/>
      <c r="B4" s="434"/>
      <c r="C4" s="434"/>
      <c r="D4" s="434"/>
      <c r="E4" s="434"/>
      <c r="F4" s="434"/>
      <c r="G4" s="434"/>
      <c r="H4" s="434"/>
      <c r="I4" s="434"/>
      <c r="J4" s="1">
        <v>2021</v>
      </c>
      <c r="K4" s="1">
        <v>2022</v>
      </c>
      <c r="L4" s="1">
        <v>2023</v>
      </c>
      <c r="M4" s="1">
        <v>2024</v>
      </c>
      <c r="N4" s="1">
        <v>2025</v>
      </c>
      <c r="O4" s="1">
        <v>2026</v>
      </c>
      <c r="P4" s="1">
        <v>2027</v>
      </c>
      <c r="Q4" s="390"/>
      <c r="R4" s="391"/>
      <c r="S4" s="90">
        <v>2021</v>
      </c>
      <c r="T4" s="90">
        <v>2022</v>
      </c>
      <c r="U4" s="90">
        <v>2023</v>
      </c>
      <c r="V4" s="90">
        <v>2024</v>
      </c>
      <c r="W4" s="90">
        <v>2025</v>
      </c>
      <c r="X4" s="90">
        <v>2026</v>
      </c>
      <c r="Y4" s="91">
        <v>2027</v>
      </c>
      <c r="Z4" s="393"/>
      <c r="AA4" s="395"/>
      <c r="AB4" s="378"/>
    </row>
    <row r="5" spans="1:28" s="14" customFormat="1" ht="71.099999999999994" customHeight="1">
      <c r="A5" s="430" t="s">
        <v>721</v>
      </c>
      <c r="B5" s="246" t="s">
        <v>722</v>
      </c>
      <c r="C5" s="11" t="s">
        <v>723</v>
      </c>
      <c r="D5" s="11" t="s">
        <v>268</v>
      </c>
      <c r="E5" s="11" t="s">
        <v>119</v>
      </c>
      <c r="F5" s="246" t="s">
        <v>724</v>
      </c>
      <c r="G5" s="11" t="s">
        <v>113</v>
      </c>
      <c r="H5" s="11" t="s">
        <v>113</v>
      </c>
      <c r="I5" s="11" t="s">
        <v>725</v>
      </c>
      <c r="J5" s="11">
        <v>2</v>
      </c>
      <c r="K5" s="11">
        <v>2</v>
      </c>
      <c r="L5" s="11">
        <v>2</v>
      </c>
      <c r="M5" s="11">
        <v>2</v>
      </c>
      <c r="N5" s="11">
        <v>2</v>
      </c>
      <c r="O5" s="11">
        <v>2</v>
      </c>
      <c r="P5" s="120">
        <v>2</v>
      </c>
      <c r="Q5" s="92">
        <v>0</v>
      </c>
      <c r="R5" s="93">
        <v>0.04</v>
      </c>
      <c r="S5" s="97">
        <f t="shared" ref="S5:S27" si="0">IF(J5&lt;&gt;0,Q5,0)</f>
        <v>0</v>
      </c>
      <c r="T5" s="97">
        <f t="shared" ref="T5:T27" si="1">IF(K5&lt;&gt;0,(IF(S5&lt;&gt;0,(S5*$R$2),($Q5*$R$2))),0)</f>
        <v>0</v>
      </c>
      <c r="U5" s="97">
        <f t="shared" ref="U5:U27" si="2">IF(L5&lt;&gt;0,(IF(T5&lt;&gt;0,(T5*$R$2),(($Q5*$R$2)*$R$2))),0)</f>
        <v>0</v>
      </c>
      <c r="V5" s="97">
        <f t="shared" ref="V5:V27" si="3">IF(M5&lt;&gt;0,(IF(U5&lt;&gt;0,(U5*$R$2),(($Q5*$R$2)*$R$2*$R$2))),0)</f>
        <v>0</v>
      </c>
      <c r="W5" s="97">
        <f t="shared" ref="W5:W27" si="4">IF(N5&lt;&gt;0,(IF(V5&lt;&gt;0,(V5*$R$2),(($Q5*$R$2)*$R$2*$R$2*$R$2))),0)</f>
        <v>0</v>
      </c>
      <c r="X5" s="97">
        <f t="shared" ref="X5:X27" si="5">IF(O5&lt;&gt;0,(IF(W5&lt;&gt;0,(W5*$R$2),(($Q5*$R$2)*$R$2*$R$2*$R$2*$R$2))),0)</f>
        <v>0</v>
      </c>
      <c r="Y5" s="97">
        <f t="shared" ref="Y5:Y27" si="6">IF(P5&lt;&gt;0,(IF(X5&lt;&gt;0,(X5*$R$2),(($Q5*$R$2)*$R$2*$R$2*$R$2*$R$2*$R$2))),0)</f>
        <v>0</v>
      </c>
      <c r="Z5" s="94">
        <f>SUM(S5:Y5)</f>
        <v>0</v>
      </c>
      <c r="AA5" s="186">
        <f>Z5</f>
        <v>0</v>
      </c>
      <c r="AB5" s="188" t="s">
        <v>15</v>
      </c>
    </row>
    <row r="6" spans="1:28" s="14" customFormat="1" ht="83.25" customHeight="1">
      <c r="A6" s="431"/>
      <c r="B6" s="383" t="s">
        <v>726</v>
      </c>
      <c r="C6" s="45" t="s">
        <v>727</v>
      </c>
      <c r="D6" s="379" t="s">
        <v>728</v>
      </c>
      <c r="E6" s="45" t="s">
        <v>174</v>
      </c>
      <c r="F6" s="232" t="s">
        <v>729</v>
      </c>
      <c r="G6" s="45" t="s">
        <v>113</v>
      </c>
      <c r="H6" s="45" t="s">
        <v>113</v>
      </c>
      <c r="I6" s="45">
        <v>0</v>
      </c>
      <c r="J6" s="15">
        <v>0.1</v>
      </c>
      <c r="K6" s="15">
        <v>0.1</v>
      </c>
      <c r="L6" s="15">
        <v>0.1</v>
      </c>
      <c r="M6" s="15">
        <v>0.1</v>
      </c>
      <c r="N6" s="15">
        <v>0.1</v>
      </c>
      <c r="O6" s="15">
        <v>0.1</v>
      </c>
      <c r="P6" s="108">
        <v>0.1</v>
      </c>
      <c r="Q6" s="199">
        <v>10800000</v>
      </c>
      <c r="R6" s="96">
        <v>0.04</v>
      </c>
      <c r="S6" s="97">
        <f t="shared" si="0"/>
        <v>10800000</v>
      </c>
      <c r="T6" s="97">
        <f t="shared" si="1"/>
        <v>11232000</v>
      </c>
      <c r="U6" s="97">
        <f t="shared" si="2"/>
        <v>11681280</v>
      </c>
      <c r="V6" s="97">
        <f t="shared" si="3"/>
        <v>12148531.200000001</v>
      </c>
      <c r="W6" s="97">
        <f t="shared" si="4"/>
        <v>12634472.448000001</v>
      </c>
      <c r="X6" s="97">
        <f t="shared" si="5"/>
        <v>13139851.345920002</v>
      </c>
      <c r="Y6" s="97">
        <f t="shared" si="6"/>
        <v>13665445.399756802</v>
      </c>
      <c r="Z6" s="98">
        <f t="shared" ref="Z6:Z16" si="7">SUM(S6:Y6)</f>
        <v>85301580.393676803</v>
      </c>
      <c r="AA6" s="299">
        <f>SUM(Z6:Z7)</f>
        <v>164284525.20263678</v>
      </c>
      <c r="AB6" s="333" t="s">
        <v>9</v>
      </c>
    </row>
    <row r="7" spans="1:28" s="14" customFormat="1" ht="106.5" customHeight="1" thickBot="1">
      <c r="A7" s="432"/>
      <c r="B7" s="388"/>
      <c r="C7" s="9" t="s">
        <v>730</v>
      </c>
      <c r="D7" s="380"/>
      <c r="E7" s="9" t="s">
        <v>119</v>
      </c>
      <c r="F7" s="235" t="s">
        <v>731</v>
      </c>
      <c r="G7" s="9" t="s">
        <v>113</v>
      </c>
      <c r="H7" s="9" t="s">
        <v>113</v>
      </c>
      <c r="I7" s="9" t="s">
        <v>732</v>
      </c>
      <c r="J7" s="9">
        <v>1</v>
      </c>
      <c r="K7" s="9">
        <v>1</v>
      </c>
      <c r="L7" s="9">
        <v>1</v>
      </c>
      <c r="M7" s="9">
        <v>1</v>
      </c>
      <c r="N7" s="9">
        <v>1</v>
      </c>
      <c r="O7" s="9">
        <v>1</v>
      </c>
      <c r="P7" s="116">
        <v>1</v>
      </c>
      <c r="Q7" s="99">
        <v>10000000</v>
      </c>
      <c r="R7" s="100">
        <v>0.04</v>
      </c>
      <c r="S7" s="103">
        <f t="shared" si="0"/>
        <v>10000000</v>
      </c>
      <c r="T7" s="103">
        <f t="shared" si="1"/>
        <v>10400000</v>
      </c>
      <c r="U7" s="103">
        <f t="shared" si="2"/>
        <v>10816000</v>
      </c>
      <c r="V7" s="103">
        <f t="shared" si="3"/>
        <v>11248640</v>
      </c>
      <c r="W7" s="103">
        <f t="shared" si="4"/>
        <v>11698585.6</v>
      </c>
      <c r="X7" s="103">
        <f t="shared" si="5"/>
        <v>12166529.024</v>
      </c>
      <c r="Y7" s="103">
        <f t="shared" si="6"/>
        <v>12653190.18496</v>
      </c>
      <c r="Z7" s="101">
        <f t="shared" si="7"/>
        <v>78982944.808959991</v>
      </c>
      <c r="AA7" s="389"/>
      <c r="AB7" s="328"/>
    </row>
    <row r="8" spans="1:28" s="14" customFormat="1" ht="103.5" customHeight="1">
      <c r="A8" s="397" t="s">
        <v>733</v>
      </c>
      <c r="B8" s="386" t="s">
        <v>734</v>
      </c>
      <c r="C8" s="11" t="s">
        <v>735</v>
      </c>
      <c r="D8" s="400" t="s">
        <v>496</v>
      </c>
      <c r="E8" s="11" t="s">
        <v>119</v>
      </c>
      <c r="F8" s="246" t="s">
        <v>736</v>
      </c>
      <c r="G8" s="11" t="s">
        <v>113</v>
      </c>
      <c r="H8" s="11" t="s">
        <v>113</v>
      </c>
      <c r="I8" s="60" t="s">
        <v>737</v>
      </c>
      <c r="J8" s="11">
        <v>1</v>
      </c>
      <c r="K8" s="11">
        <v>0</v>
      </c>
      <c r="L8" s="11">
        <v>0</v>
      </c>
      <c r="M8" s="11">
        <v>0</v>
      </c>
      <c r="N8" s="11">
        <v>0</v>
      </c>
      <c r="O8" s="11">
        <v>0</v>
      </c>
      <c r="P8" s="120">
        <v>0</v>
      </c>
      <c r="Q8" s="92">
        <v>0</v>
      </c>
      <c r="R8" s="93">
        <v>0.04</v>
      </c>
      <c r="S8" s="128">
        <f t="shared" si="0"/>
        <v>0</v>
      </c>
      <c r="T8" s="128">
        <f t="shared" si="1"/>
        <v>0</v>
      </c>
      <c r="U8" s="128">
        <f t="shared" si="2"/>
        <v>0</v>
      </c>
      <c r="V8" s="128">
        <f t="shared" si="3"/>
        <v>0</v>
      </c>
      <c r="W8" s="128">
        <f t="shared" si="4"/>
        <v>0</v>
      </c>
      <c r="X8" s="128">
        <f t="shared" si="5"/>
        <v>0</v>
      </c>
      <c r="Y8" s="128">
        <f t="shared" si="6"/>
        <v>0</v>
      </c>
      <c r="Z8" s="94">
        <f t="shared" si="7"/>
        <v>0</v>
      </c>
      <c r="AA8" s="341">
        <f>SUM(Z8:Z10)</f>
        <v>3244483495.5264006</v>
      </c>
      <c r="AB8" s="327" t="s">
        <v>9</v>
      </c>
    </row>
    <row r="9" spans="1:28" s="14" customFormat="1" ht="75.75" customHeight="1">
      <c r="A9" s="399"/>
      <c r="B9" s="381"/>
      <c r="C9" s="45" t="s">
        <v>738</v>
      </c>
      <c r="D9" s="401"/>
      <c r="E9" s="45" t="s">
        <v>174</v>
      </c>
      <c r="F9" s="232" t="s">
        <v>739</v>
      </c>
      <c r="G9" s="45" t="s">
        <v>113</v>
      </c>
      <c r="H9" s="45" t="s">
        <v>113</v>
      </c>
      <c r="I9" s="45" t="s">
        <v>740</v>
      </c>
      <c r="J9" s="15">
        <v>0.8</v>
      </c>
      <c r="K9" s="15">
        <v>0.85</v>
      </c>
      <c r="L9" s="15">
        <v>0.87</v>
      </c>
      <c r="M9" s="15">
        <v>0.9</v>
      </c>
      <c r="N9" s="15">
        <v>0.94</v>
      </c>
      <c r="O9" s="15">
        <v>0.97</v>
      </c>
      <c r="P9" s="108">
        <v>1</v>
      </c>
      <c r="Q9" s="95">
        <v>400000000</v>
      </c>
      <c r="R9" s="96">
        <v>0.04</v>
      </c>
      <c r="S9" s="97">
        <f t="shared" si="0"/>
        <v>400000000</v>
      </c>
      <c r="T9" s="97">
        <f t="shared" si="1"/>
        <v>416000000</v>
      </c>
      <c r="U9" s="97">
        <f t="shared" si="2"/>
        <v>432640000</v>
      </c>
      <c r="V9" s="97">
        <f t="shared" si="3"/>
        <v>449945600</v>
      </c>
      <c r="W9" s="97">
        <f t="shared" si="4"/>
        <v>467943424</v>
      </c>
      <c r="X9" s="97">
        <f t="shared" si="5"/>
        <v>486661160.96000004</v>
      </c>
      <c r="Y9" s="97">
        <f t="shared" si="6"/>
        <v>506127607.39840007</v>
      </c>
      <c r="Z9" s="98">
        <f t="shared" si="7"/>
        <v>3159317792.3584003</v>
      </c>
      <c r="AA9" s="299"/>
      <c r="AB9" s="327"/>
    </row>
    <row r="10" spans="1:28" s="14" customFormat="1" ht="82.5" customHeight="1">
      <c r="A10" s="399"/>
      <c r="B10" s="381"/>
      <c r="C10" s="45" t="s">
        <v>741</v>
      </c>
      <c r="D10" s="402"/>
      <c r="E10" s="45" t="s">
        <v>119</v>
      </c>
      <c r="F10" s="232" t="s">
        <v>742</v>
      </c>
      <c r="G10" s="45" t="s">
        <v>113</v>
      </c>
      <c r="H10" s="45" t="s">
        <v>113</v>
      </c>
      <c r="I10" s="45" t="s">
        <v>743</v>
      </c>
      <c r="J10" s="45">
        <v>0</v>
      </c>
      <c r="K10" s="45">
        <v>0</v>
      </c>
      <c r="L10" s="45">
        <v>0</v>
      </c>
      <c r="M10" s="46">
        <v>0</v>
      </c>
      <c r="N10" s="46">
        <v>0</v>
      </c>
      <c r="O10" s="46">
        <v>1</v>
      </c>
      <c r="P10" s="145">
        <v>0</v>
      </c>
      <c r="Q10" s="95">
        <v>70000000</v>
      </c>
      <c r="R10" s="96">
        <v>0.04</v>
      </c>
      <c r="S10" s="97">
        <f t="shared" si="0"/>
        <v>0</v>
      </c>
      <c r="T10" s="97">
        <f t="shared" si="1"/>
        <v>0</v>
      </c>
      <c r="U10" s="97">
        <f t="shared" si="2"/>
        <v>0</v>
      </c>
      <c r="V10" s="97">
        <f t="shared" si="3"/>
        <v>0</v>
      </c>
      <c r="W10" s="97">
        <f t="shared" si="4"/>
        <v>0</v>
      </c>
      <c r="X10" s="97">
        <f t="shared" si="5"/>
        <v>85165703.168000013</v>
      </c>
      <c r="Y10" s="97">
        <f t="shared" si="6"/>
        <v>0</v>
      </c>
      <c r="Z10" s="98">
        <f t="shared" si="7"/>
        <v>85165703.168000013</v>
      </c>
      <c r="AA10" s="299"/>
      <c r="AB10" s="332"/>
    </row>
    <row r="11" spans="1:28" s="14" customFormat="1" ht="100.5" customHeight="1">
      <c r="A11" s="399"/>
      <c r="B11" s="381" t="s">
        <v>744</v>
      </c>
      <c r="C11" s="45" t="s">
        <v>745</v>
      </c>
      <c r="D11" s="379" t="s">
        <v>496</v>
      </c>
      <c r="E11" s="45" t="s">
        <v>174</v>
      </c>
      <c r="F11" s="233" t="s">
        <v>746</v>
      </c>
      <c r="G11" s="71" t="s">
        <v>112</v>
      </c>
      <c r="H11" s="45" t="s">
        <v>140</v>
      </c>
      <c r="I11" s="71" t="s">
        <v>747</v>
      </c>
      <c r="J11" s="21">
        <v>0.4</v>
      </c>
      <c r="K11" s="21">
        <v>0.8</v>
      </c>
      <c r="L11" s="21">
        <v>1</v>
      </c>
      <c r="M11" s="45">
        <v>0</v>
      </c>
      <c r="N11" s="45">
        <v>0</v>
      </c>
      <c r="O11" s="45">
        <v>0</v>
      </c>
      <c r="P11" s="122">
        <v>0</v>
      </c>
      <c r="Q11" s="95">
        <v>0</v>
      </c>
      <c r="R11" s="96">
        <v>0.04</v>
      </c>
      <c r="S11" s="97">
        <f t="shared" si="0"/>
        <v>0</v>
      </c>
      <c r="T11" s="97">
        <f t="shared" si="1"/>
        <v>0</v>
      </c>
      <c r="U11" s="97">
        <f t="shared" si="2"/>
        <v>0</v>
      </c>
      <c r="V11" s="97">
        <f t="shared" si="3"/>
        <v>0</v>
      </c>
      <c r="W11" s="97">
        <f t="shared" si="4"/>
        <v>0</v>
      </c>
      <c r="X11" s="97">
        <f t="shared" si="5"/>
        <v>0</v>
      </c>
      <c r="Y11" s="97">
        <f t="shared" si="6"/>
        <v>0</v>
      </c>
      <c r="Z11" s="98">
        <f t="shared" si="7"/>
        <v>0</v>
      </c>
      <c r="AA11" s="299">
        <f>SUM(Z11:Z13)</f>
        <v>106782529.61792</v>
      </c>
      <c r="AB11" s="333" t="s">
        <v>9</v>
      </c>
    </row>
    <row r="12" spans="1:28" s="14" customFormat="1" ht="85.5" customHeight="1">
      <c r="A12" s="399"/>
      <c r="B12" s="381"/>
      <c r="C12" s="45" t="s">
        <v>748</v>
      </c>
      <c r="D12" s="401"/>
      <c r="E12" s="45" t="s">
        <v>119</v>
      </c>
      <c r="F12" s="232" t="s">
        <v>749</v>
      </c>
      <c r="G12" s="45" t="s">
        <v>113</v>
      </c>
      <c r="H12" s="58" t="s">
        <v>113</v>
      </c>
      <c r="I12" s="45" t="s">
        <v>750</v>
      </c>
      <c r="J12" s="45">
        <v>0</v>
      </c>
      <c r="K12" s="71">
        <v>0</v>
      </c>
      <c r="L12" s="45">
        <v>0</v>
      </c>
      <c r="M12" s="45">
        <v>1</v>
      </c>
      <c r="N12" s="45">
        <v>0</v>
      </c>
      <c r="O12" s="45">
        <v>0</v>
      </c>
      <c r="P12" s="122">
        <v>0</v>
      </c>
      <c r="Q12" s="95">
        <v>30000000</v>
      </c>
      <c r="R12" s="96">
        <v>0.04</v>
      </c>
      <c r="S12" s="97">
        <f t="shared" si="0"/>
        <v>0</v>
      </c>
      <c r="T12" s="97">
        <f t="shared" si="1"/>
        <v>0</v>
      </c>
      <c r="U12" s="97">
        <f t="shared" si="2"/>
        <v>0</v>
      </c>
      <c r="V12" s="97">
        <f t="shared" si="3"/>
        <v>33745920</v>
      </c>
      <c r="W12" s="97">
        <f t="shared" si="4"/>
        <v>0</v>
      </c>
      <c r="X12" s="97">
        <f t="shared" si="5"/>
        <v>0</v>
      </c>
      <c r="Y12" s="97">
        <f t="shared" si="6"/>
        <v>0</v>
      </c>
      <c r="Z12" s="98">
        <f t="shared" si="7"/>
        <v>33745920</v>
      </c>
      <c r="AA12" s="299"/>
      <c r="AB12" s="327"/>
    </row>
    <row r="13" spans="1:28" s="14" customFormat="1" ht="87.75" customHeight="1">
      <c r="A13" s="399"/>
      <c r="B13" s="381"/>
      <c r="C13" s="45" t="s">
        <v>748</v>
      </c>
      <c r="D13" s="402"/>
      <c r="E13" s="45" t="s">
        <v>174</v>
      </c>
      <c r="F13" s="232" t="s">
        <v>751</v>
      </c>
      <c r="G13" s="45" t="s">
        <v>113</v>
      </c>
      <c r="H13" s="45" t="s">
        <v>113</v>
      </c>
      <c r="I13" s="45" t="s">
        <v>752</v>
      </c>
      <c r="J13" s="45">
        <v>0</v>
      </c>
      <c r="K13" s="45">
        <v>0</v>
      </c>
      <c r="L13" s="56">
        <v>0</v>
      </c>
      <c r="M13" s="46">
        <v>0</v>
      </c>
      <c r="N13" s="46">
        <v>1</v>
      </c>
      <c r="O13" s="46">
        <v>1</v>
      </c>
      <c r="P13" s="145">
        <v>1</v>
      </c>
      <c r="Q13" s="95">
        <v>20000000</v>
      </c>
      <c r="R13" s="96">
        <v>0.04</v>
      </c>
      <c r="S13" s="97">
        <f t="shared" si="0"/>
        <v>0</v>
      </c>
      <c r="T13" s="97">
        <f t="shared" si="1"/>
        <v>0</v>
      </c>
      <c r="U13" s="97">
        <f t="shared" si="2"/>
        <v>0</v>
      </c>
      <c r="V13" s="97">
        <f t="shared" si="3"/>
        <v>0</v>
      </c>
      <c r="W13" s="97">
        <f t="shared" si="4"/>
        <v>23397171.199999999</v>
      </c>
      <c r="X13" s="97">
        <f t="shared" si="5"/>
        <v>24333058.048</v>
      </c>
      <c r="Y13" s="97">
        <f t="shared" si="6"/>
        <v>25306380.36992</v>
      </c>
      <c r="Z13" s="98">
        <f t="shared" si="7"/>
        <v>73036609.617919996</v>
      </c>
      <c r="AA13" s="299"/>
      <c r="AB13" s="332"/>
    </row>
    <row r="14" spans="1:28" s="14" customFormat="1" ht="72.75" customHeight="1">
      <c r="A14" s="399"/>
      <c r="B14" s="367" t="s">
        <v>753</v>
      </c>
      <c r="C14" s="45" t="s">
        <v>754</v>
      </c>
      <c r="D14" s="379" t="s">
        <v>755</v>
      </c>
      <c r="E14" s="45" t="s">
        <v>119</v>
      </c>
      <c r="F14" s="232" t="s">
        <v>756</v>
      </c>
      <c r="G14" s="45" t="s">
        <v>113</v>
      </c>
      <c r="H14" s="45" t="s">
        <v>113</v>
      </c>
      <c r="I14" s="57" t="s">
        <v>757</v>
      </c>
      <c r="J14" s="71">
        <v>0</v>
      </c>
      <c r="K14" s="71">
        <v>1</v>
      </c>
      <c r="L14" s="71">
        <v>0</v>
      </c>
      <c r="M14" s="71">
        <v>0</v>
      </c>
      <c r="N14" s="71">
        <v>0</v>
      </c>
      <c r="O14" s="71">
        <v>0</v>
      </c>
      <c r="P14" s="123">
        <v>0</v>
      </c>
      <c r="Q14" s="95">
        <v>1000000000</v>
      </c>
      <c r="R14" s="96">
        <v>0.04</v>
      </c>
      <c r="S14" s="97">
        <f t="shared" si="0"/>
        <v>0</v>
      </c>
      <c r="T14" s="97">
        <f t="shared" si="1"/>
        <v>1040000000</v>
      </c>
      <c r="U14" s="97">
        <f t="shared" si="2"/>
        <v>0</v>
      </c>
      <c r="V14" s="97">
        <f t="shared" si="3"/>
        <v>0</v>
      </c>
      <c r="W14" s="97">
        <f t="shared" si="4"/>
        <v>0</v>
      </c>
      <c r="X14" s="97">
        <f t="shared" si="5"/>
        <v>0</v>
      </c>
      <c r="Y14" s="97">
        <f t="shared" si="6"/>
        <v>0</v>
      </c>
      <c r="Z14" s="98">
        <f t="shared" si="7"/>
        <v>1040000000</v>
      </c>
      <c r="AA14" s="299">
        <f>SUM(Z14:Z17)</f>
        <v>5894806136.6272001</v>
      </c>
      <c r="AB14" s="333" t="s">
        <v>758</v>
      </c>
    </row>
    <row r="15" spans="1:28" s="14" customFormat="1" ht="75.75" customHeight="1">
      <c r="A15" s="399"/>
      <c r="B15" s="367"/>
      <c r="C15" s="45" t="s">
        <v>754</v>
      </c>
      <c r="D15" s="401"/>
      <c r="E15" s="45" t="s">
        <v>119</v>
      </c>
      <c r="F15" s="232" t="s">
        <v>759</v>
      </c>
      <c r="G15" s="45" t="s">
        <v>113</v>
      </c>
      <c r="H15" s="45" t="s">
        <v>113</v>
      </c>
      <c r="I15" s="45" t="s">
        <v>760</v>
      </c>
      <c r="J15" s="45">
        <v>0</v>
      </c>
      <c r="K15" s="45" t="s">
        <v>761</v>
      </c>
      <c r="L15" s="45" t="s">
        <v>761</v>
      </c>
      <c r="M15" s="45" t="s">
        <v>761</v>
      </c>
      <c r="N15" s="45" t="s">
        <v>761</v>
      </c>
      <c r="O15" s="45" t="s">
        <v>761</v>
      </c>
      <c r="P15" s="122" t="s">
        <v>761</v>
      </c>
      <c r="Q15" s="95">
        <v>700000000</v>
      </c>
      <c r="R15" s="96">
        <v>0.04</v>
      </c>
      <c r="S15" s="97">
        <f t="shared" si="0"/>
        <v>0</v>
      </c>
      <c r="T15" s="97">
        <f t="shared" si="1"/>
        <v>728000000</v>
      </c>
      <c r="U15" s="97">
        <f t="shared" si="2"/>
        <v>757120000</v>
      </c>
      <c r="V15" s="97">
        <f t="shared" si="3"/>
        <v>787404800</v>
      </c>
      <c r="W15" s="97">
        <f t="shared" si="4"/>
        <v>818900992</v>
      </c>
      <c r="X15" s="97">
        <f t="shared" si="5"/>
        <v>851657031.68000007</v>
      </c>
      <c r="Y15" s="97">
        <f t="shared" si="6"/>
        <v>885723312.94720006</v>
      </c>
      <c r="Z15" s="98">
        <f t="shared" si="7"/>
        <v>4828806136.6272001</v>
      </c>
      <c r="AA15" s="299"/>
      <c r="AB15" s="327"/>
    </row>
    <row r="16" spans="1:28" s="14" customFormat="1" ht="57" customHeight="1">
      <c r="A16" s="399"/>
      <c r="B16" s="367"/>
      <c r="C16" s="45" t="s">
        <v>754</v>
      </c>
      <c r="D16" s="401"/>
      <c r="E16" s="45" t="s">
        <v>119</v>
      </c>
      <c r="F16" s="232" t="s">
        <v>762</v>
      </c>
      <c r="G16" s="45" t="s">
        <v>113</v>
      </c>
      <c r="H16" s="45" t="s">
        <v>113</v>
      </c>
      <c r="I16" s="57" t="s">
        <v>763</v>
      </c>
      <c r="J16" s="45">
        <v>0</v>
      </c>
      <c r="K16" s="45">
        <v>1</v>
      </c>
      <c r="L16" s="45">
        <v>0</v>
      </c>
      <c r="M16" s="45">
        <v>0</v>
      </c>
      <c r="N16" s="45">
        <v>0</v>
      </c>
      <c r="O16" s="45">
        <v>0</v>
      </c>
      <c r="P16" s="122">
        <v>0</v>
      </c>
      <c r="Q16" s="95">
        <f>15000000 + 10000000</f>
        <v>25000000</v>
      </c>
      <c r="R16" s="96">
        <v>0.04</v>
      </c>
      <c r="S16" s="97">
        <f t="shared" si="0"/>
        <v>0</v>
      </c>
      <c r="T16" s="97">
        <f t="shared" si="1"/>
        <v>26000000</v>
      </c>
      <c r="U16" s="97">
        <f t="shared" si="2"/>
        <v>0</v>
      </c>
      <c r="V16" s="97">
        <f t="shared" si="3"/>
        <v>0</v>
      </c>
      <c r="W16" s="97">
        <f t="shared" si="4"/>
        <v>0</v>
      </c>
      <c r="X16" s="97">
        <f t="shared" si="5"/>
        <v>0</v>
      </c>
      <c r="Y16" s="97">
        <f t="shared" si="6"/>
        <v>0</v>
      </c>
      <c r="Z16" s="98">
        <f t="shared" si="7"/>
        <v>26000000</v>
      </c>
      <c r="AA16" s="299"/>
      <c r="AB16" s="327"/>
    </row>
    <row r="17" spans="1:28" s="14" customFormat="1" ht="48" customHeight="1">
      <c r="A17" s="399"/>
      <c r="B17" s="367"/>
      <c r="C17" s="45" t="s">
        <v>754</v>
      </c>
      <c r="D17" s="402"/>
      <c r="E17" s="45" t="s">
        <v>119</v>
      </c>
      <c r="F17" s="234" t="s">
        <v>764</v>
      </c>
      <c r="G17" s="71" t="s">
        <v>113</v>
      </c>
      <c r="H17" s="45" t="s">
        <v>113</v>
      </c>
      <c r="I17" s="71" t="s">
        <v>765</v>
      </c>
      <c r="J17" s="71">
        <v>1</v>
      </c>
      <c r="K17" s="71">
        <v>1</v>
      </c>
      <c r="L17" s="71">
        <v>1</v>
      </c>
      <c r="M17" s="71">
        <v>1</v>
      </c>
      <c r="N17" s="71">
        <v>1</v>
      </c>
      <c r="O17" s="71">
        <v>1</v>
      </c>
      <c r="P17" s="123">
        <v>1</v>
      </c>
      <c r="Q17" s="95">
        <v>0</v>
      </c>
      <c r="R17" s="96">
        <v>0.04</v>
      </c>
      <c r="S17" s="97">
        <f t="shared" si="0"/>
        <v>0</v>
      </c>
      <c r="T17" s="97">
        <f t="shared" si="1"/>
        <v>0</v>
      </c>
      <c r="U17" s="97">
        <f t="shared" si="2"/>
        <v>0</v>
      </c>
      <c r="V17" s="97">
        <f t="shared" si="3"/>
        <v>0</v>
      </c>
      <c r="W17" s="97">
        <f t="shared" si="4"/>
        <v>0</v>
      </c>
      <c r="X17" s="97">
        <f t="shared" si="5"/>
        <v>0</v>
      </c>
      <c r="Y17" s="97">
        <f t="shared" si="6"/>
        <v>0</v>
      </c>
      <c r="Z17" s="98">
        <f t="shared" ref="Z17:Z27" si="8">SUM(S17:Y17)</f>
        <v>0</v>
      </c>
      <c r="AA17" s="299"/>
      <c r="AB17" s="332"/>
    </row>
    <row r="18" spans="1:28" s="14" customFormat="1" ht="47.25" customHeight="1">
      <c r="A18" s="399"/>
      <c r="B18" s="381" t="s">
        <v>766</v>
      </c>
      <c r="C18" s="382" t="s">
        <v>767</v>
      </c>
      <c r="D18" s="379" t="s">
        <v>768</v>
      </c>
      <c r="E18" s="45" t="s">
        <v>119</v>
      </c>
      <c r="F18" s="232" t="s">
        <v>769</v>
      </c>
      <c r="G18" s="45" t="s">
        <v>113</v>
      </c>
      <c r="H18" s="45" t="s">
        <v>113</v>
      </c>
      <c r="I18" s="45" t="s">
        <v>770</v>
      </c>
      <c r="J18" s="45">
        <v>1</v>
      </c>
      <c r="K18" s="45">
        <v>0</v>
      </c>
      <c r="L18" s="45">
        <v>1</v>
      </c>
      <c r="M18" s="45">
        <v>1</v>
      </c>
      <c r="N18" s="45">
        <v>0</v>
      </c>
      <c r="O18" s="45">
        <v>1</v>
      </c>
      <c r="P18" s="122">
        <v>1</v>
      </c>
      <c r="Q18" s="95">
        <v>5000000</v>
      </c>
      <c r="R18" s="96">
        <v>0.04</v>
      </c>
      <c r="S18" s="97">
        <f t="shared" si="0"/>
        <v>5000000</v>
      </c>
      <c r="T18" s="97">
        <f t="shared" si="1"/>
        <v>0</v>
      </c>
      <c r="U18" s="97">
        <f t="shared" si="2"/>
        <v>5408000</v>
      </c>
      <c r="V18" s="97">
        <f t="shared" si="3"/>
        <v>5624320</v>
      </c>
      <c r="W18" s="97">
        <f t="shared" si="4"/>
        <v>0</v>
      </c>
      <c r="X18" s="97">
        <f t="shared" si="5"/>
        <v>6083264.5120000001</v>
      </c>
      <c r="Y18" s="97">
        <f t="shared" si="6"/>
        <v>6326595.0924800001</v>
      </c>
      <c r="Z18" s="98">
        <f t="shared" si="8"/>
        <v>28442179.604480002</v>
      </c>
      <c r="AA18" s="299">
        <f>SUM(Z18:Z19)</f>
        <v>45016118.804480001</v>
      </c>
      <c r="AB18" s="333" t="s">
        <v>9</v>
      </c>
    </row>
    <row r="19" spans="1:28" s="14" customFormat="1" ht="47.25" customHeight="1">
      <c r="A19" s="399"/>
      <c r="B19" s="381"/>
      <c r="C19" s="382"/>
      <c r="D19" s="402"/>
      <c r="E19" s="45" t="s">
        <v>119</v>
      </c>
      <c r="F19" s="232" t="s">
        <v>771</v>
      </c>
      <c r="G19" s="45" t="s">
        <v>113</v>
      </c>
      <c r="H19" s="45" t="s">
        <v>113</v>
      </c>
      <c r="I19" s="45" t="s">
        <v>770</v>
      </c>
      <c r="J19" s="45">
        <v>0</v>
      </c>
      <c r="K19" s="45">
        <v>1</v>
      </c>
      <c r="L19" s="45">
        <v>0</v>
      </c>
      <c r="M19" s="45">
        <v>0</v>
      </c>
      <c r="N19" s="45">
        <v>1</v>
      </c>
      <c r="O19" s="45">
        <v>0</v>
      </c>
      <c r="P19" s="122">
        <v>0</v>
      </c>
      <c r="Q19" s="95">
        <v>7500000</v>
      </c>
      <c r="R19" s="96">
        <v>0.04</v>
      </c>
      <c r="S19" s="97">
        <f t="shared" si="0"/>
        <v>0</v>
      </c>
      <c r="T19" s="97">
        <f t="shared" si="1"/>
        <v>7800000</v>
      </c>
      <c r="U19" s="97">
        <f t="shared" si="2"/>
        <v>0</v>
      </c>
      <c r="V19" s="97">
        <f t="shared" si="3"/>
        <v>0</v>
      </c>
      <c r="W19" s="97">
        <f t="shared" si="4"/>
        <v>8773939.2000000011</v>
      </c>
      <c r="X19" s="97">
        <f t="shared" si="5"/>
        <v>0</v>
      </c>
      <c r="Y19" s="97">
        <f t="shared" si="6"/>
        <v>0</v>
      </c>
      <c r="Z19" s="98">
        <f t="shared" si="8"/>
        <v>16573939.200000001</v>
      </c>
      <c r="AA19" s="299"/>
      <c r="AB19" s="332"/>
    </row>
    <row r="20" spans="1:28" s="14" customFormat="1" ht="65.25" customHeight="1">
      <c r="A20" s="399"/>
      <c r="B20" s="381" t="s">
        <v>772</v>
      </c>
      <c r="C20" s="360" t="s">
        <v>773</v>
      </c>
      <c r="D20" s="379" t="s">
        <v>274</v>
      </c>
      <c r="E20" s="45" t="s">
        <v>119</v>
      </c>
      <c r="F20" s="233" t="s">
        <v>774</v>
      </c>
      <c r="G20" s="45" t="s">
        <v>113</v>
      </c>
      <c r="H20" s="45" t="s">
        <v>113</v>
      </c>
      <c r="I20" s="45">
        <v>0</v>
      </c>
      <c r="J20" s="45">
        <v>1</v>
      </c>
      <c r="K20" s="45">
        <v>0</v>
      </c>
      <c r="L20" s="45">
        <v>0</v>
      </c>
      <c r="M20" s="45">
        <v>0</v>
      </c>
      <c r="N20" s="45">
        <v>0</v>
      </c>
      <c r="O20" s="45">
        <v>0</v>
      </c>
      <c r="P20" s="122">
        <v>0</v>
      </c>
      <c r="Q20" s="95">
        <v>0</v>
      </c>
      <c r="R20" s="96">
        <v>0.04</v>
      </c>
      <c r="S20" s="97">
        <f t="shared" si="0"/>
        <v>0</v>
      </c>
      <c r="T20" s="97">
        <f t="shared" si="1"/>
        <v>0</v>
      </c>
      <c r="U20" s="97">
        <f t="shared" si="2"/>
        <v>0</v>
      </c>
      <c r="V20" s="97">
        <f t="shared" si="3"/>
        <v>0</v>
      </c>
      <c r="W20" s="97">
        <f t="shared" si="4"/>
        <v>0</v>
      </c>
      <c r="X20" s="97">
        <f t="shared" si="5"/>
        <v>0</v>
      </c>
      <c r="Y20" s="97">
        <f t="shared" si="6"/>
        <v>0</v>
      </c>
      <c r="Z20" s="98">
        <f t="shared" si="8"/>
        <v>0</v>
      </c>
      <c r="AA20" s="299">
        <f>SUM(Z20:Z21)</f>
        <v>1016348720.185344</v>
      </c>
      <c r="AB20" s="333" t="s">
        <v>9</v>
      </c>
    </row>
    <row r="21" spans="1:28" s="14" customFormat="1" ht="60.75" customHeight="1" thickBot="1">
      <c r="A21" s="405"/>
      <c r="B21" s="384"/>
      <c r="C21" s="370"/>
      <c r="D21" s="380"/>
      <c r="E21" s="8" t="s">
        <v>119</v>
      </c>
      <c r="F21" s="256" t="s">
        <v>775</v>
      </c>
      <c r="G21" s="8" t="s">
        <v>113</v>
      </c>
      <c r="H21" s="8" t="s">
        <v>113</v>
      </c>
      <c r="I21" s="8" t="s">
        <v>776</v>
      </c>
      <c r="J21" s="8">
        <v>0</v>
      </c>
      <c r="K21" s="8">
        <v>0</v>
      </c>
      <c r="L21" s="86">
        <v>1</v>
      </c>
      <c r="M21" s="86">
        <v>0</v>
      </c>
      <c r="N21" s="86">
        <v>1</v>
      </c>
      <c r="O21" s="86">
        <v>0</v>
      </c>
      <c r="P21" s="150">
        <v>1</v>
      </c>
      <c r="Q21" s="130">
        <v>289000000</v>
      </c>
      <c r="R21" s="102">
        <v>0.04</v>
      </c>
      <c r="S21" s="103">
        <f t="shared" si="0"/>
        <v>0</v>
      </c>
      <c r="T21" s="103">
        <f t="shared" si="1"/>
        <v>0</v>
      </c>
      <c r="U21" s="103">
        <f t="shared" si="2"/>
        <v>312582400</v>
      </c>
      <c r="V21" s="103">
        <f t="shared" si="3"/>
        <v>0</v>
      </c>
      <c r="W21" s="103">
        <f t="shared" si="4"/>
        <v>338089123.84000003</v>
      </c>
      <c r="X21" s="103">
        <f t="shared" si="5"/>
        <v>0</v>
      </c>
      <c r="Y21" s="103">
        <f t="shared" si="6"/>
        <v>365677196.34534401</v>
      </c>
      <c r="Z21" s="104">
        <f t="shared" si="8"/>
        <v>1016348720.185344</v>
      </c>
      <c r="AA21" s="389"/>
      <c r="AB21" s="328"/>
    </row>
    <row r="22" spans="1:28" s="14" customFormat="1" ht="62.25" customHeight="1">
      <c r="A22" s="429" t="s">
        <v>777</v>
      </c>
      <c r="B22" s="255" t="s">
        <v>778</v>
      </c>
      <c r="C22" s="58" t="s">
        <v>767</v>
      </c>
      <c r="D22" s="58" t="s">
        <v>274</v>
      </c>
      <c r="E22" s="58" t="s">
        <v>119</v>
      </c>
      <c r="F22" s="255" t="s">
        <v>779</v>
      </c>
      <c r="G22" s="58" t="s">
        <v>113</v>
      </c>
      <c r="H22" s="58" t="s">
        <v>113</v>
      </c>
      <c r="I22" s="58" t="s">
        <v>780</v>
      </c>
      <c r="J22" s="58">
        <v>1</v>
      </c>
      <c r="K22" s="58">
        <v>1</v>
      </c>
      <c r="L22" s="58">
        <v>1</v>
      </c>
      <c r="M22" s="58">
        <v>1</v>
      </c>
      <c r="N22" s="58">
        <v>1</v>
      </c>
      <c r="O22" s="58">
        <v>1</v>
      </c>
      <c r="P22" s="151">
        <v>1</v>
      </c>
      <c r="Q22" s="126">
        <v>0</v>
      </c>
      <c r="R22" s="127">
        <v>0.04</v>
      </c>
      <c r="S22" s="128">
        <f t="shared" si="0"/>
        <v>0</v>
      </c>
      <c r="T22" s="128">
        <f t="shared" si="1"/>
        <v>0</v>
      </c>
      <c r="U22" s="128">
        <f t="shared" si="2"/>
        <v>0</v>
      </c>
      <c r="V22" s="128">
        <f t="shared" si="3"/>
        <v>0</v>
      </c>
      <c r="W22" s="128">
        <f t="shared" si="4"/>
        <v>0</v>
      </c>
      <c r="X22" s="128">
        <f t="shared" si="5"/>
        <v>0</v>
      </c>
      <c r="Y22" s="128">
        <f t="shared" si="6"/>
        <v>0</v>
      </c>
      <c r="Z22" s="129">
        <f t="shared" si="8"/>
        <v>0</v>
      </c>
      <c r="AA22" s="186">
        <f>Z22</f>
        <v>0</v>
      </c>
      <c r="AB22" s="191" t="s">
        <v>15</v>
      </c>
    </row>
    <row r="23" spans="1:28" s="14" customFormat="1" ht="81.75" customHeight="1">
      <c r="A23" s="399"/>
      <c r="B23" s="381" t="s">
        <v>781</v>
      </c>
      <c r="C23" s="45" t="s">
        <v>782</v>
      </c>
      <c r="D23" s="379" t="s">
        <v>285</v>
      </c>
      <c r="E23" s="71" t="s">
        <v>119</v>
      </c>
      <c r="F23" s="232" t="s">
        <v>783</v>
      </c>
      <c r="G23" s="71" t="s">
        <v>113</v>
      </c>
      <c r="H23" s="71" t="s">
        <v>113</v>
      </c>
      <c r="I23" s="71">
        <v>0</v>
      </c>
      <c r="J23" s="71">
        <v>1</v>
      </c>
      <c r="K23" s="71">
        <v>0</v>
      </c>
      <c r="L23" s="71">
        <v>0</v>
      </c>
      <c r="M23" s="71">
        <v>0</v>
      </c>
      <c r="N23" s="71">
        <v>0</v>
      </c>
      <c r="O23" s="71">
        <v>0</v>
      </c>
      <c r="P23" s="123">
        <v>0</v>
      </c>
      <c r="Q23" s="95">
        <v>200000000</v>
      </c>
      <c r="R23" s="96">
        <v>0.04</v>
      </c>
      <c r="S23" s="97">
        <f t="shared" si="0"/>
        <v>200000000</v>
      </c>
      <c r="T23" s="97">
        <f t="shared" si="1"/>
        <v>0</v>
      </c>
      <c r="U23" s="97">
        <f t="shared" si="2"/>
        <v>0</v>
      </c>
      <c r="V23" s="97">
        <f t="shared" si="3"/>
        <v>0</v>
      </c>
      <c r="W23" s="97">
        <f t="shared" si="4"/>
        <v>0</v>
      </c>
      <c r="X23" s="97">
        <f t="shared" si="5"/>
        <v>0</v>
      </c>
      <c r="Y23" s="97">
        <f t="shared" si="6"/>
        <v>0</v>
      </c>
      <c r="Z23" s="98">
        <f t="shared" si="8"/>
        <v>200000000</v>
      </c>
      <c r="AA23" s="299">
        <f>SUM(Z23:Z25)</f>
        <v>1579658896.1792002</v>
      </c>
      <c r="AB23" s="333" t="s">
        <v>9</v>
      </c>
    </row>
    <row r="24" spans="1:28" s="14" customFormat="1" ht="60.75" customHeight="1">
      <c r="A24" s="399"/>
      <c r="B24" s="381"/>
      <c r="C24" s="45" t="s">
        <v>782</v>
      </c>
      <c r="D24" s="401"/>
      <c r="E24" s="71" t="s">
        <v>119</v>
      </c>
      <c r="F24" s="233" t="s">
        <v>784</v>
      </c>
      <c r="G24" s="71" t="s">
        <v>113</v>
      </c>
      <c r="H24" s="71" t="s">
        <v>113</v>
      </c>
      <c r="I24" s="71" t="s">
        <v>785</v>
      </c>
      <c r="J24" s="71">
        <v>0</v>
      </c>
      <c r="K24" s="71">
        <v>1</v>
      </c>
      <c r="L24" s="71">
        <v>1</v>
      </c>
      <c r="M24" s="71">
        <v>1</v>
      </c>
      <c r="N24" s="71">
        <v>1</v>
      </c>
      <c r="O24" s="71">
        <v>1</v>
      </c>
      <c r="P24" s="123">
        <v>1</v>
      </c>
      <c r="Q24" s="199">
        <v>0</v>
      </c>
      <c r="R24" s="96">
        <v>0.04</v>
      </c>
      <c r="S24" s="97">
        <f t="shared" si="0"/>
        <v>0</v>
      </c>
      <c r="T24" s="97">
        <f t="shared" si="1"/>
        <v>0</v>
      </c>
      <c r="U24" s="97">
        <f t="shared" si="2"/>
        <v>0</v>
      </c>
      <c r="V24" s="97">
        <f t="shared" si="3"/>
        <v>0</v>
      </c>
      <c r="W24" s="97">
        <f t="shared" si="4"/>
        <v>0</v>
      </c>
      <c r="X24" s="97">
        <f t="shared" si="5"/>
        <v>0</v>
      </c>
      <c r="Y24" s="97">
        <f t="shared" si="6"/>
        <v>0</v>
      </c>
      <c r="Z24" s="98">
        <f t="shared" si="8"/>
        <v>0</v>
      </c>
      <c r="AA24" s="299"/>
      <c r="AB24" s="327"/>
    </row>
    <row r="25" spans="1:28" s="14" customFormat="1" ht="100.5" customHeight="1" thickBot="1">
      <c r="A25" s="398"/>
      <c r="B25" s="383"/>
      <c r="C25" s="9" t="s">
        <v>782</v>
      </c>
      <c r="D25" s="380"/>
      <c r="E25" s="9" t="s">
        <v>119</v>
      </c>
      <c r="F25" s="235" t="s">
        <v>786</v>
      </c>
      <c r="G25" s="9" t="s">
        <v>113</v>
      </c>
      <c r="H25" s="9" t="s">
        <v>113</v>
      </c>
      <c r="I25" s="9" t="s">
        <v>785</v>
      </c>
      <c r="J25" s="9">
        <v>0</v>
      </c>
      <c r="K25" s="9">
        <v>1</v>
      </c>
      <c r="L25" s="9">
        <v>1</v>
      </c>
      <c r="M25" s="9">
        <v>1</v>
      </c>
      <c r="N25" s="9">
        <v>1</v>
      </c>
      <c r="O25" s="9">
        <v>1</v>
      </c>
      <c r="P25" s="116">
        <v>1</v>
      </c>
      <c r="Q25" s="95">
        <v>200000000</v>
      </c>
      <c r="R25" s="100">
        <v>0.04</v>
      </c>
      <c r="S25" s="103">
        <f t="shared" si="0"/>
        <v>0</v>
      </c>
      <c r="T25" s="103">
        <f t="shared" si="1"/>
        <v>208000000</v>
      </c>
      <c r="U25" s="103">
        <f t="shared" si="2"/>
        <v>216320000</v>
      </c>
      <c r="V25" s="103">
        <f t="shared" si="3"/>
        <v>224972800</v>
      </c>
      <c r="W25" s="103">
        <f t="shared" si="4"/>
        <v>233971712</v>
      </c>
      <c r="X25" s="103">
        <f t="shared" si="5"/>
        <v>243330580.48000002</v>
      </c>
      <c r="Y25" s="103">
        <f t="shared" si="6"/>
        <v>253063803.69920003</v>
      </c>
      <c r="Z25" s="101">
        <f t="shared" si="8"/>
        <v>1379658896.1792002</v>
      </c>
      <c r="AA25" s="389"/>
      <c r="AB25" s="328"/>
    </row>
    <row r="26" spans="1:28" s="14" customFormat="1" ht="63" customHeight="1">
      <c r="A26" s="397" t="s">
        <v>787</v>
      </c>
      <c r="B26" s="236" t="s">
        <v>788</v>
      </c>
      <c r="C26" s="11" t="s">
        <v>789</v>
      </c>
      <c r="D26" s="11" t="s">
        <v>285</v>
      </c>
      <c r="E26" s="13" t="s">
        <v>119</v>
      </c>
      <c r="F26" s="246" t="s">
        <v>790</v>
      </c>
      <c r="G26" s="13" t="s">
        <v>113</v>
      </c>
      <c r="H26" s="13" t="s">
        <v>113</v>
      </c>
      <c r="I26" s="13">
        <v>0</v>
      </c>
      <c r="J26" s="13">
        <v>1</v>
      </c>
      <c r="K26" s="13">
        <v>0</v>
      </c>
      <c r="L26" s="13">
        <v>0</v>
      </c>
      <c r="M26" s="13">
        <v>0</v>
      </c>
      <c r="N26" s="13">
        <v>0</v>
      </c>
      <c r="O26" s="13">
        <v>0</v>
      </c>
      <c r="P26" s="140">
        <v>0</v>
      </c>
      <c r="Q26" s="92">
        <v>150000000</v>
      </c>
      <c r="R26" s="93">
        <v>0.04</v>
      </c>
      <c r="S26" s="128">
        <f t="shared" si="0"/>
        <v>150000000</v>
      </c>
      <c r="T26" s="128">
        <f t="shared" si="1"/>
        <v>0</v>
      </c>
      <c r="U26" s="128">
        <f t="shared" si="2"/>
        <v>0</v>
      </c>
      <c r="V26" s="128">
        <f t="shared" si="3"/>
        <v>0</v>
      </c>
      <c r="W26" s="128">
        <f t="shared" si="4"/>
        <v>0</v>
      </c>
      <c r="X26" s="128">
        <f t="shared" si="5"/>
        <v>0</v>
      </c>
      <c r="Y26" s="128">
        <f t="shared" si="6"/>
        <v>0</v>
      </c>
      <c r="Z26" s="94">
        <f t="shared" si="8"/>
        <v>150000000</v>
      </c>
      <c r="AA26" s="186">
        <f>Z26</f>
        <v>150000000</v>
      </c>
      <c r="AB26" s="191" t="s">
        <v>9</v>
      </c>
    </row>
    <row r="27" spans="1:28" s="14" customFormat="1" ht="120" customHeight="1" thickBot="1">
      <c r="A27" s="405"/>
      <c r="B27" s="256" t="s">
        <v>791</v>
      </c>
      <c r="C27" s="8" t="s">
        <v>792</v>
      </c>
      <c r="D27" s="8" t="s">
        <v>293</v>
      </c>
      <c r="E27" s="8" t="s">
        <v>119</v>
      </c>
      <c r="F27" s="247" t="s">
        <v>793</v>
      </c>
      <c r="G27" s="8" t="s">
        <v>112</v>
      </c>
      <c r="H27" s="8" t="s">
        <v>113</v>
      </c>
      <c r="I27" s="8" t="s">
        <v>794</v>
      </c>
      <c r="J27" s="8">
        <v>6</v>
      </c>
      <c r="K27" s="8">
        <v>6</v>
      </c>
      <c r="L27" s="8">
        <v>6</v>
      </c>
      <c r="M27" s="8">
        <v>6</v>
      </c>
      <c r="N27" s="8">
        <v>6</v>
      </c>
      <c r="O27" s="8">
        <v>6</v>
      </c>
      <c r="P27" s="125">
        <v>6</v>
      </c>
      <c r="Q27" s="130">
        <v>0</v>
      </c>
      <c r="R27" s="102">
        <v>0.04</v>
      </c>
      <c r="S27" s="103">
        <f t="shared" si="0"/>
        <v>0</v>
      </c>
      <c r="T27" s="103">
        <f t="shared" si="1"/>
        <v>0</v>
      </c>
      <c r="U27" s="103">
        <f t="shared" si="2"/>
        <v>0</v>
      </c>
      <c r="V27" s="103">
        <f t="shared" si="3"/>
        <v>0</v>
      </c>
      <c r="W27" s="103">
        <f t="shared" si="4"/>
        <v>0</v>
      </c>
      <c r="X27" s="103">
        <f t="shared" si="5"/>
        <v>0</v>
      </c>
      <c r="Y27" s="103">
        <f t="shared" si="6"/>
        <v>0</v>
      </c>
      <c r="Z27" s="104">
        <f t="shared" si="8"/>
        <v>0</v>
      </c>
      <c r="AA27" s="192">
        <f>Z27</f>
        <v>0</v>
      </c>
      <c r="AB27" s="189" t="s">
        <v>15</v>
      </c>
    </row>
    <row r="29" spans="1:28">
      <c r="A29" s="396"/>
      <c r="B29" s="396"/>
      <c r="C29" s="396"/>
      <c r="D29" s="396"/>
      <c r="E29" s="396"/>
      <c r="F29" s="396"/>
      <c r="G29" s="396"/>
      <c r="H29" s="396"/>
      <c r="I29" s="396"/>
      <c r="J29" s="396"/>
      <c r="K29" s="396"/>
      <c r="L29" s="396"/>
      <c r="M29" s="396"/>
      <c r="N29" s="396"/>
      <c r="O29" s="396"/>
      <c r="P29" s="396"/>
    </row>
  </sheetData>
  <sheetProtection algorithmName="SHA-512" hashValue="LqgfzEJHwKAWFEnAzhA9bOCR38mDwyAgRBwJ25ARBCweyG58/h+Fnq+cn4EZ0dfWOROBA39t5OHCT5/2QrB9Qw==" saltValue="nXsZxRgKw2MCF0syO8WSiw==" spinCount="100000" sheet="1" objects="1" scenarios="1"/>
  <mergeCells count="53">
    <mergeCell ref="A1:P1"/>
    <mergeCell ref="A2:P2"/>
    <mergeCell ref="A3:A4"/>
    <mergeCell ref="B3:B4"/>
    <mergeCell ref="F3:F4"/>
    <mergeCell ref="G3:G4"/>
    <mergeCell ref="H3:H4"/>
    <mergeCell ref="I3:I4"/>
    <mergeCell ref="J3:P3"/>
    <mergeCell ref="C3:C4"/>
    <mergeCell ref="D3:D4"/>
    <mergeCell ref="E3:E4"/>
    <mergeCell ref="A29:P29"/>
    <mergeCell ref="A5:A7"/>
    <mergeCell ref="B6:B7"/>
    <mergeCell ref="A8:A21"/>
    <mergeCell ref="B8:B10"/>
    <mergeCell ref="B14:B17"/>
    <mergeCell ref="B18:B19"/>
    <mergeCell ref="C18:C19"/>
    <mergeCell ref="B20:B21"/>
    <mergeCell ref="C20:C21"/>
    <mergeCell ref="D14:D17"/>
    <mergeCell ref="D18:D19"/>
    <mergeCell ref="AB3:AB4"/>
    <mergeCell ref="AA20:AA21"/>
    <mergeCell ref="AA23:AA25"/>
    <mergeCell ref="Q3:Q4"/>
    <mergeCell ref="R3:R4"/>
    <mergeCell ref="S3:Y3"/>
    <mergeCell ref="Z3:Z4"/>
    <mergeCell ref="AA3:AA4"/>
    <mergeCell ref="AA6:AA7"/>
    <mergeCell ref="AA8:AA10"/>
    <mergeCell ref="AA11:AA13"/>
    <mergeCell ref="AA14:AA17"/>
    <mergeCell ref="AB8:AB10"/>
    <mergeCell ref="AB11:AB13"/>
    <mergeCell ref="AB14:AB17"/>
    <mergeCell ref="AB18:AB19"/>
    <mergeCell ref="AA18:AA19"/>
    <mergeCell ref="AB20:AB21"/>
    <mergeCell ref="AB23:AB25"/>
    <mergeCell ref="AB6:AB7"/>
    <mergeCell ref="A26:A27"/>
    <mergeCell ref="D6:D7"/>
    <mergeCell ref="D8:D10"/>
    <mergeCell ref="D11:D13"/>
    <mergeCell ref="D20:D21"/>
    <mergeCell ref="A22:A25"/>
    <mergeCell ref="B23:B25"/>
    <mergeCell ref="B11:B13"/>
    <mergeCell ref="D23:D25"/>
  </mergeCells>
  <pageMargins left="0.7" right="0.7" top="0.75" bottom="0.75" header="0.3" footer="0.3"/>
  <pageSetup orientation="portrait" horizontalDpi="1200" verticalDpi="1200" r:id="rId1"/>
  <ignoredErrors>
    <ignoredError sqref="Z13:Z27 Z6:AA6 Z9 Z12 AA14 AA11 AA20 AA23 T6:Y6 T14:U16 W13:Y13 U21:Y21 T24:Y25"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0000000}">
          <x14:formula1>
            <xm:f>Hoja2!$A$1:$A$3</xm:f>
          </x14:formula1>
          <xm:sqref>E5:E27</xm:sqref>
        </x14:dataValidation>
        <x14:dataValidation type="list" allowBlank="1" showInputMessage="1" showErrorMessage="1" xr:uid="{00000000-0002-0000-0D00-000001000000}">
          <x14:formula1>
            <xm:f>Hoja2!$C$15:$C$17</xm:f>
          </x14:formula1>
          <xm:sqref>G5:G27</xm:sqref>
        </x14:dataValidation>
        <x14:dataValidation type="list" allowBlank="1" showInputMessage="1" showErrorMessage="1" xr:uid="{00000000-0002-0000-0D00-000002000000}">
          <x14:formula1>
            <xm:f>Hoja2!$E$15:$E$26</xm:f>
          </x14:formula1>
          <xm:sqref>AB5:AB27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9"/>
  <sheetViews>
    <sheetView zoomScale="70" zoomScaleNormal="70" zoomScalePageLayoutView="70" workbookViewId="0"/>
  </sheetViews>
  <sheetFormatPr defaultColWidth="11" defaultRowHeight="15.75"/>
  <cols>
    <col min="2" max="2" width="6.125" customWidth="1"/>
    <col min="3" max="3" width="22.125" customWidth="1"/>
    <col min="4" max="4" width="6.125" customWidth="1"/>
    <col min="5" max="5" width="53.125" customWidth="1"/>
    <col min="6" max="6" width="5.875" customWidth="1"/>
    <col min="8" max="8" width="5.375" customWidth="1"/>
  </cols>
  <sheetData>
    <row r="1" spans="1:9" ht="15.95" customHeight="1">
      <c r="A1" t="s">
        <v>110</v>
      </c>
      <c r="C1" t="s">
        <v>795</v>
      </c>
      <c r="E1" t="s">
        <v>796</v>
      </c>
      <c r="G1" t="s">
        <v>797</v>
      </c>
      <c r="I1" t="s">
        <v>798</v>
      </c>
    </row>
    <row r="2" spans="1:9">
      <c r="A2" t="s">
        <v>174</v>
      </c>
      <c r="C2" t="s">
        <v>799</v>
      </c>
      <c r="E2" t="s">
        <v>800</v>
      </c>
      <c r="G2" t="s">
        <v>801</v>
      </c>
      <c r="I2" t="s">
        <v>802</v>
      </c>
    </row>
    <row r="3" spans="1:9">
      <c r="A3" t="s">
        <v>119</v>
      </c>
      <c r="C3" t="s">
        <v>803</v>
      </c>
      <c r="E3" t="s">
        <v>804</v>
      </c>
      <c r="G3" t="s">
        <v>805</v>
      </c>
      <c r="I3" t="s">
        <v>806</v>
      </c>
    </row>
    <row r="4" spans="1:9">
      <c r="C4" t="s">
        <v>807</v>
      </c>
      <c r="E4" t="s">
        <v>808</v>
      </c>
      <c r="G4" t="s">
        <v>809</v>
      </c>
      <c r="I4" t="s">
        <v>810</v>
      </c>
    </row>
    <row r="5" spans="1:9">
      <c r="C5" t="s">
        <v>811</v>
      </c>
      <c r="E5" t="s">
        <v>812</v>
      </c>
      <c r="I5" t="s">
        <v>813</v>
      </c>
    </row>
    <row r="6" spans="1:9">
      <c r="E6" t="s">
        <v>814</v>
      </c>
      <c r="I6" t="s">
        <v>815</v>
      </c>
    </row>
    <row r="7" spans="1:9">
      <c r="E7" t="s">
        <v>816</v>
      </c>
      <c r="I7" t="s">
        <v>817</v>
      </c>
    </row>
    <row r="8" spans="1:9">
      <c r="E8" t="s">
        <v>818</v>
      </c>
      <c r="I8" t="s">
        <v>819</v>
      </c>
    </row>
    <row r="9" spans="1:9">
      <c r="E9" t="s">
        <v>820</v>
      </c>
      <c r="I9" t="s">
        <v>821</v>
      </c>
    </row>
    <row r="10" spans="1:9">
      <c r="E10" t="s">
        <v>822</v>
      </c>
      <c r="I10" t="s">
        <v>823</v>
      </c>
    </row>
    <row r="11" spans="1:9">
      <c r="E11" t="s">
        <v>824</v>
      </c>
      <c r="I11" t="s">
        <v>825</v>
      </c>
    </row>
    <row r="12" spans="1:9">
      <c r="E12" t="s">
        <v>826</v>
      </c>
      <c r="I12" t="s">
        <v>827</v>
      </c>
    </row>
    <row r="15" spans="1:9">
      <c r="C15" t="s">
        <v>828</v>
      </c>
      <c r="E15" t="s">
        <v>829</v>
      </c>
      <c r="I15" t="s">
        <v>830</v>
      </c>
    </row>
    <row r="16" spans="1:9">
      <c r="C16" t="s">
        <v>112</v>
      </c>
      <c r="E16" t="s">
        <v>5</v>
      </c>
      <c r="I16" t="s">
        <v>831</v>
      </c>
    </row>
    <row r="17" spans="3:9">
      <c r="C17" t="s">
        <v>113</v>
      </c>
      <c r="E17" t="s">
        <v>6</v>
      </c>
      <c r="I17" t="s">
        <v>832</v>
      </c>
    </row>
    <row r="18" spans="3:9">
      <c r="E18" t="s">
        <v>8</v>
      </c>
      <c r="I18" t="s">
        <v>833</v>
      </c>
    </row>
    <row r="19" spans="3:9">
      <c r="E19" t="s">
        <v>7</v>
      </c>
      <c r="I19" t="s">
        <v>834</v>
      </c>
    </row>
    <row r="20" spans="3:9">
      <c r="C20" t="s">
        <v>113</v>
      </c>
      <c r="E20" t="s">
        <v>9</v>
      </c>
      <c r="I20" t="s">
        <v>835</v>
      </c>
    </row>
    <row r="21" spans="3:9">
      <c r="C21" t="s">
        <v>140</v>
      </c>
      <c r="E21" t="s">
        <v>10</v>
      </c>
      <c r="I21" t="s">
        <v>836</v>
      </c>
    </row>
    <row r="22" spans="3:9">
      <c r="E22" t="s">
        <v>11</v>
      </c>
      <c r="I22" t="s">
        <v>837</v>
      </c>
    </row>
    <row r="23" spans="3:9">
      <c r="E23" t="s">
        <v>12</v>
      </c>
      <c r="I23" t="s">
        <v>838</v>
      </c>
    </row>
    <row r="24" spans="3:9">
      <c r="E24" t="s">
        <v>13</v>
      </c>
      <c r="I24" t="s">
        <v>839</v>
      </c>
    </row>
    <row r="25" spans="3:9">
      <c r="E25" t="s">
        <v>14</v>
      </c>
      <c r="I25" t="s">
        <v>840</v>
      </c>
    </row>
    <row r="26" spans="3:9">
      <c r="E26" t="s">
        <v>15</v>
      </c>
      <c r="I26" t="s">
        <v>841</v>
      </c>
    </row>
    <row r="27" spans="3:9">
      <c r="I27" t="s">
        <v>842</v>
      </c>
    </row>
    <row r="28" spans="3:9">
      <c r="I28" t="s">
        <v>843</v>
      </c>
    </row>
    <row r="29" spans="3:9">
      <c r="I29" t="s">
        <v>844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86"/>
  <sheetViews>
    <sheetView topLeftCell="A2" zoomScale="80" zoomScaleNormal="80" zoomScalePageLayoutView="40" workbookViewId="0">
      <pane ySplit="2" topLeftCell="A4" activePane="bottomLeft" state="frozen"/>
      <selection pane="bottomLeft" activeCell="A2" sqref="A2:A3"/>
      <selection activeCell="A11" sqref="A11:E11"/>
    </sheetView>
  </sheetViews>
  <sheetFormatPr defaultColWidth="10.875" defaultRowHeight="15.75"/>
  <cols>
    <col min="1" max="1" width="83.5" style="154" customWidth="1"/>
    <col min="2" max="2" width="15.5" style="154" customWidth="1"/>
    <col min="3" max="5" width="24" style="154" customWidth="1"/>
    <col min="6" max="19" width="25.5" style="154" customWidth="1"/>
    <col min="20" max="20" width="22.125" style="154" customWidth="1"/>
    <col min="21" max="16384" width="10.875" style="154"/>
  </cols>
  <sheetData>
    <row r="1" spans="1:20" ht="51" customHeight="1" thickBot="1">
      <c r="A1" s="313"/>
      <c r="B1" s="313"/>
      <c r="C1" s="313"/>
      <c r="D1" s="313"/>
      <c r="E1" s="313"/>
    </row>
    <row r="2" spans="1:20" ht="26.25" customHeight="1">
      <c r="A2" s="317" t="s">
        <v>0</v>
      </c>
      <c r="B2" s="317" t="s">
        <v>35</v>
      </c>
      <c r="C2" s="315" t="s">
        <v>1</v>
      </c>
      <c r="D2" s="316"/>
      <c r="E2" s="316"/>
      <c r="F2" s="263" t="s">
        <v>2</v>
      </c>
      <c r="G2" s="323"/>
      <c r="H2" s="323"/>
      <c r="I2" s="323"/>
      <c r="J2" s="323"/>
      <c r="K2" s="323"/>
      <c r="L2" s="323"/>
      <c r="M2" s="323"/>
      <c r="N2" s="323"/>
      <c r="O2" s="264"/>
      <c r="P2" s="264"/>
      <c r="Q2" s="264"/>
      <c r="R2" s="264"/>
      <c r="S2" s="264"/>
      <c r="T2" s="266"/>
    </row>
    <row r="3" spans="1:20" ht="54" customHeight="1">
      <c r="A3" s="318"/>
      <c r="B3" s="318"/>
      <c r="C3" s="159" t="s">
        <v>36</v>
      </c>
      <c r="D3" s="159" t="s">
        <v>37</v>
      </c>
      <c r="E3" s="160" t="s">
        <v>38</v>
      </c>
      <c r="F3" s="170" t="s">
        <v>4</v>
      </c>
      <c r="G3" s="171" t="s">
        <v>5</v>
      </c>
      <c r="H3" s="171" t="s">
        <v>6</v>
      </c>
      <c r="I3" s="171" t="s">
        <v>7</v>
      </c>
      <c r="J3" s="171" t="s">
        <v>8</v>
      </c>
      <c r="K3" s="171" t="s">
        <v>9</v>
      </c>
      <c r="L3" s="171" t="s">
        <v>10</v>
      </c>
      <c r="M3" s="171" t="s">
        <v>11</v>
      </c>
      <c r="N3" s="171" t="s">
        <v>12</v>
      </c>
      <c r="O3" s="171" t="s">
        <v>13</v>
      </c>
      <c r="P3" s="202" t="s">
        <v>14</v>
      </c>
      <c r="Q3" s="202" t="s">
        <v>15</v>
      </c>
      <c r="R3" s="171" t="s">
        <v>39</v>
      </c>
      <c r="S3" s="171" t="s">
        <v>40</v>
      </c>
      <c r="T3" s="172" t="s">
        <v>41</v>
      </c>
    </row>
    <row r="4" spans="1:20" ht="22.5" customHeight="1">
      <c r="A4" s="308" t="s">
        <v>17</v>
      </c>
      <c r="B4" s="308"/>
      <c r="C4" s="308"/>
      <c r="D4" s="308"/>
      <c r="E4" s="309"/>
      <c r="F4" s="267"/>
      <c r="G4" s="322"/>
      <c r="H4" s="322"/>
      <c r="I4" s="322"/>
      <c r="J4" s="322"/>
      <c r="K4" s="322"/>
      <c r="L4" s="322"/>
      <c r="M4" s="322"/>
      <c r="N4" s="322"/>
      <c r="O4" s="268"/>
      <c r="P4" s="268"/>
      <c r="Q4" s="268"/>
      <c r="R4" s="268"/>
      <c r="S4" s="268"/>
      <c r="T4" s="270"/>
    </row>
    <row r="5" spans="1:20" ht="20.25" customHeight="1">
      <c r="A5" s="310" t="s">
        <v>18</v>
      </c>
      <c r="B5" s="310"/>
      <c r="C5" s="310"/>
      <c r="D5" s="310"/>
      <c r="E5" s="302"/>
      <c r="F5" s="203">
        <f>F7+F8+F10+F11+F12+F14+F15+F17+F18+F20+F21+F23+F24+F26</f>
        <v>1875860389.6550922</v>
      </c>
      <c r="G5" s="204">
        <f t="shared" ref="G5:Q5" si="0">G7+G8+G10+G11+G12+G14+G15+G17+G18+G20+G21+G23+G24+G26</f>
        <v>0</v>
      </c>
      <c r="H5" s="204">
        <f t="shared" si="0"/>
        <v>394914724.04480004</v>
      </c>
      <c r="I5" s="204">
        <f t="shared" si="0"/>
        <v>0</v>
      </c>
      <c r="J5" s="204">
        <f t="shared" si="0"/>
        <v>394914724.04480004</v>
      </c>
      <c r="K5" s="204">
        <f t="shared" si="0"/>
        <v>0</v>
      </c>
      <c r="L5" s="204">
        <f t="shared" si="0"/>
        <v>0</v>
      </c>
      <c r="M5" s="204">
        <f t="shared" si="0"/>
        <v>1875860389.6550922</v>
      </c>
      <c r="N5" s="204">
        <f t="shared" si="0"/>
        <v>0</v>
      </c>
      <c r="O5" s="204">
        <f t="shared" si="0"/>
        <v>0</v>
      </c>
      <c r="P5" s="204">
        <f t="shared" si="0"/>
        <v>0</v>
      </c>
      <c r="Q5" s="204">
        <f t="shared" si="0"/>
        <v>0</v>
      </c>
      <c r="R5" s="175"/>
      <c r="S5" s="175"/>
      <c r="T5" s="176"/>
    </row>
    <row r="6" spans="1:20">
      <c r="A6" s="273" t="s">
        <v>42</v>
      </c>
      <c r="B6" s="274"/>
      <c r="C6" s="274"/>
      <c r="D6" s="275"/>
      <c r="E6" s="314">
        <f>D7+D10+D14+D17+D20+D23+D26</f>
        <v>4541550227.3997841</v>
      </c>
      <c r="F6" s="295"/>
      <c r="G6" s="296"/>
      <c r="H6" s="296"/>
      <c r="I6" s="296"/>
      <c r="J6" s="296"/>
      <c r="K6" s="296"/>
      <c r="L6" s="296"/>
      <c r="M6" s="296"/>
      <c r="N6" s="296"/>
      <c r="O6" s="297"/>
      <c r="P6" s="297"/>
      <c r="Q6" s="297"/>
      <c r="R6" s="297"/>
      <c r="S6" s="297"/>
      <c r="T6" s="320">
        <f>S7+S10+S14+S17+S20+S23+S26</f>
        <v>4541550227.3997841</v>
      </c>
    </row>
    <row r="7" spans="1:20" ht="50.25" customHeight="1">
      <c r="A7" s="231" t="str">
        <f>'EXCELENCIA ACADÉMICA'!B5</f>
        <v xml:space="preserve">Participación de la comunidad académica en espacios de producción, difusión e intercambio de conocimientos disciplinares, pedagógicos y científicos, discusión académica sobre problemáticas sociales, culturales, económicas, tecnológicas entre otras.  </v>
      </c>
      <c r="B7" s="57" t="str">
        <f>'EXCELENCIA ACADÉMICA'!D5</f>
        <v>MEDIA
(71%)</v>
      </c>
      <c r="C7" s="98">
        <f>'EXCELENCIA ACADÉMICA'!AA5</f>
        <v>789829448.08960009</v>
      </c>
      <c r="D7" s="298">
        <f>SUM(C7:C8)</f>
        <v>789829448.08960009</v>
      </c>
      <c r="E7" s="314"/>
      <c r="F7" s="164"/>
      <c r="G7" s="200"/>
      <c r="H7" s="200">
        <f>C7/2</f>
        <v>394914724.04480004</v>
      </c>
      <c r="I7" s="200"/>
      <c r="J7" s="200">
        <f>C7/2</f>
        <v>394914724.04480004</v>
      </c>
      <c r="K7" s="200"/>
      <c r="L7" s="200"/>
      <c r="M7" s="200"/>
      <c r="N7" s="200"/>
      <c r="O7" s="98"/>
      <c r="P7" s="98"/>
      <c r="Q7" s="98"/>
      <c r="R7" s="98">
        <f>SUM(F7:Q7)</f>
        <v>789829448.08960009</v>
      </c>
      <c r="S7" s="298">
        <f>SUM(R7:R8)</f>
        <v>789829448.08960009</v>
      </c>
      <c r="T7" s="321"/>
    </row>
    <row r="8" spans="1:20" ht="39.75" customHeight="1">
      <c r="A8" s="232" t="str">
        <f>'EXCELENCIA ACADÉMICA'!B7</f>
        <v xml:space="preserve">Desarrollo de espacios reflexivos sobre una educación innovadora e inclusiva que dinamice la formación integral de los estudiantes. </v>
      </c>
      <c r="B8" s="45" t="str">
        <f>'EXCELENCIA ACADÉMICA'!D7</f>
        <v>ALTA
(87%)</v>
      </c>
      <c r="C8" s="98">
        <f>'EXCELENCIA ACADÉMICA'!AA7</f>
        <v>0</v>
      </c>
      <c r="D8" s="298"/>
      <c r="E8" s="314"/>
      <c r="F8" s="164"/>
      <c r="G8" s="200"/>
      <c r="H8" s="200"/>
      <c r="I8" s="200"/>
      <c r="J8" s="200"/>
      <c r="K8" s="200"/>
      <c r="L8" s="200"/>
      <c r="M8" s="200"/>
      <c r="N8" s="200"/>
      <c r="O8" s="98"/>
      <c r="P8" s="98"/>
      <c r="Q8" s="98">
        <f>C8</f>
        <v>0</v>
      </c>
      <c r="R8" s="98">
        <f>SUM(F8:Q8)</f>
        <v>0</v>
      </c>
      <c r="S8" s="298"/>
      <c r="T8" s="321"/>
    </row>
    <row r="9" spans="1:20">
      <c r="A9" s="283" t="s">
        <v>43</v>
      </c>
      <c r="B9" s="284"/>
      <c r="C9" s="284"/>
      <c r="D9" s="285"/>
      <c r="E9" s="314"/>
      <c r="F9" s="311"/>
      <c r="G9" s="282"/>
      <c r="H9" s="282"/>
      <c r="I9" s="282"/>
      <c r="J9" s="282"/>
      <c r="K9" s="282"/>
      <c r="L9" s="282"/>
      <c r="M9" s="282"/>
      <c r="N9" s="282"/>
      <c r="O9" s="312"/>
      <c r="P9" s="312"/>
      <c r="Q9" s="312"/>
      <c r="R9" s="312"/>
      <c r="S9" s="312"/>
      <c r="T9" s="321"/>
    </row>
    <row r="10" spans="1:20" ht="49.5" customHeight="1">
      <c r="A10" s="233" t="str">
        <f>'EXCELENCIA ACADÉMICA'!B8</f>
        <v>Fortalecer la articulación de manera sistémica de la ciencia, la tecnología, la innovación y la creatividad  o la educación en los procesos misionales de la Institución.</v>
      </c>
      <c r="B10" s="71" t="str">
        <f>'EXCELENCIA ACADÉMICA'!D8</f>
        <v>ALTA
(100%)</v>
      </c>
      <c r="C10" s="98">
        <f>'EXCELENCIA ACADÉMICA'!AA8</f>
        <v>0</v>
      </c>
      <c r="D10" s="298">
        <f>SUM(C10:C12)</f>
        <v>0</v>
      </c>
      <c r="E10" s="314"/>
      <c r="F10" s="164"/>
      <c r="G10" s="200"/>
      <c r="H10" s="200"/>
      <c r="I10" s="200"/>
      <c r="J10" s="200"/>
      <c r="K10" s="200"/>
      <c r="L10" s="200"/>
      <c r="M10" s="200"/>
      <c r="N10" s="200"/>
      <c r="O10" s="98"/>
      <c r="P10" s="98"/>
      <c r="Q10" s="98">
        <f>C10</f>
        <v>0</v>
      </c>
      <c r="R10" s="98">
        <f>SUM(F10:Q10)</f>
        <v>0</v>
      </c>
      <c r="S10" s="298">
        <f>SUM(R10:R12)</f>
        <v>0</v>
      </c>
      <c r="T10" s="321"/>
    </row>
    <row r="11" spans="1:20" ht="50.25" customHeight="1">
      <c r="A11" s="233" t="str">
        <f>'EXCELENCIA ACADÉMICA'!B9</f>
        <v xml:space="preserve">Formular e Implementar estrategias de acompañamiento para el desarrollo de habilidades blandas y competencias para la vida, dirigidas a estudiantes, con el fin de promover el autoconocimiento, la capacidad de relacionarse y comunicarse asertivamente con los demás y el entorno.  </v>
      </c>
      <c r="B11" s="71" t="str">
        <f>'EXCELENCIA ACADÉMICA'!D9</f>
        <v>MEDIA
(67%)</v>
      </c>
      <c r="C11" s="98">
        <f>'EXCELENCIA ACADÉMICA'!AA9</f>
        <v>0</v>
      </c>
      <c r="D11" s="298"/>
      <c r="E11" s="314"/>
      <c r="F11" s="164"/>
      <c r="G11" s="200"/>
      <c r="H11" s="200"/>
      <c r="I11" s="200"/>
      <c r="J11" s="200"/>
      <c r="K11" s="200"/>
      <c r="L11" s="200"/>
      <c r="M11" s="200"/>
      <c r="N11" s="200"/>
      <c r="O11" s="98"/>
      <c r="P11" s="98"/>
      <c r="Q11" s="98">
        <f>C11</f>
        <v>0</v>
      </c>
      <c r="R11" s="98">
        <f>SUM(F11:Q11)</f>
        <v>0</v>
      </c>
      <c r="S11" s="298"/>
      <c r="T11" s="321"/>
    </row>
    <row r="12" spans="1:20" ht="34.5" customHeight="1">
      <c r="A12" s="233" t="str">
        <f>'EXCELENCIA ACADÉMICA'!B10</f>
        <v>Fomentar la internacionalización del currículo en función de la doble titulación.</v>
      </c>
      <c r="B12" s="71" t="str">
        <f>'EXCELENCIA ACADÉMICA'!D10</f>
        <v>ALTA
(100%)</v>
      </c>
      <c r="C12" s="98">
        <f>'EXCELENCIA ACADÉMICA'!AA10</f>
        <v>0</v>
      </c>
      <c r="D12" s="298"/>
      <c r="E12" s="314"/>
      <c r="F12" s="164"/>
      <c r="G12" s="200"/>
      <c r="H12" s="200"/>
      <c r="I12" s="200"/>
      <c r="J12" s="200"/>
      <c r="K12" s="200"/>
      <c r="L12" s="200"/>
      <c r="M12" s="200"/>
      <c r="N12" s="200"/>
      <c r="O12" s="98"/>
      <c r="P12" s="98"/>
      <c r="Q12" s="98">
        <f>C12</f>
        <v>0</v>
      </c>
      <c r="R12" s="98">
        <f>SUM(F12:Q12)</f>
        <v>0</v>
      </c>
      <c r="S12" s="298"/>
      <c r="T12" s="321"/>
    </row>
    <row r="13" spans="1:20">
      <c r="A13" s="286" t="s">
        <v>44</v>
      </c>
      <c r="B13" s="287"/>
      <c r="C13" s="287"/>
      <c r="D13" s="288"/>
      <c r="E13" s="314"/>
      <c r="F13" s="311"/>
      <c r="G13" s="282"/>
      <c r="H13" s="282"/>
      <c r="I13" s="282"/>
      <c r="J13" s="282"/>
      <c r="K13" s="282"/>
      <c r="L13" s="282"/>
      <c r="M13" s="282"/>
      <c r="N13" s="282"/>
      <c r="O13" s="312"/>
      <c r="P13" s="312"/>
      <c r="Q13" s="312"/>
      <c r="R13" s="312"/>
      <c r="S13" s="312"/>
      <c r="T13" s="321"/>
    </row>
    <row r="14" spans="1:20" ht="42" customHeight="1">
      <c r="A14" s="234" t="str">
        <f>'EXCELENCIA ACADÉMICA'!B11</f>
        <v>Fortalecer la evaluación curricular en los  criterios de pertinencia, congruencia, transcendencia y equidad de los programas académicos.</v>
      </c>
      <c r="B14" s="31" t="str">
        <f>'EXCELENCIA ACADÉMICA'!D11</f>
        <v>ALTA
(100%)</v>
      </c>
      <c r="C14" s="98">
        <f>'EXCELENCIA ACADÉMICA'!AA11</f>
        <v>0</v>
      </c>
      <c r="D14" s="292">
        <f>SUM(C14:C15)</f>
        <v>0</v>
      </c>
      <c r="E14" s="314"/>
      <c r="F14" s="164"/>
      <c r="G14" s="200"/>
      <c r="H14" s="200"/>
      <c r="I14" s="200"/>
      <c r="J14" s="200"/>
      <c r="K14" s="200"/>
      <c r="L14" s="200"/>
      <c r="M14" s="200"/>
      <c r="N14" s="200"/>
      <c r="O14" s="98"/>
      <c r="P14" s="98"/>
      <c r="Q14" s="98">
        <f>C14</f>
        <v>0</v>
      </c>
      <c r="R14" s="98">
        <f>SUM(F14:Q14)</f>
        <v>0</v>
      </c>
      <c r="S14" s="298">
        <f>SUM(R14:R15)</f>
        <v>0</v>
      </c>
      <c r="T14" s="321"/>
    </row>
    <row r="15" spans="1:20" ht="39" customHeight="1">
      <c r="A15" s="234" t="str">
        <f>'EXCELENCIA ACADÉMICA'!B12</f>
        <v xml:space="preserve">Fortalecer los resultados de las pruebas Saber T y T y Saber PRO en los estudiantes de nivel tecnológico y profesional, habilitados para la presentación de la prueba. </v>
      </c>
      <c r="B15" s="31" t="str">
        <f>'EXCELENCIA ACADÉMICA'!D12</f>
        <v>ALTA
(100%)</v>
      </c>
      <c r="C15" s="98">
        <f>'EXCELENCIA ACADÉMICA'!AA12</f>
        <v>0</v>
      </c>
      <c r="D15" s="294"/>
      <c r="E15" s="314"/>
      <c r="F15" s="164"/>
      <c r="G15" s="200"/>
      <c r="H15" s="200"/>
      <c r="I15" s="200"/>
      <c r="J15" s="200"/>
      <c r="K15" s="200"/>
      <c r="L15" s="200"/>
      <c r="M15" s="200"/>
      <c r="N15" s="200"/>
      <c r="O15" s="98"/>
      <c r="P15" s="98"/>
      <c r="Q15" s="98">
        <f>C15</f>
        <v>0</v>
      </c>
      <c r="R15" s="98">
        <f>SUM(F15:Q15)</f>
        <v>0</v>
      </c>
      <c r="S15" s="298"/>
      <c r="T15" s="321"/>
    </row>
    <row r="16" spans="1:20">
      <c r="A16" s="286" t="s">
        <v>45</v>
      </c>
      <c r="B16" s="287"/>
      <c r="C16" s="287"/>
      <c r="D16" s="288"/>
      <c r="E16" s="314"/>
      <c r="F16" s="311"/>
      <c r="G16" s="282"/>
      <c r="H16" s="282"/>
      <c r="I16" s="282"/>
      <c r="J16" s="282"/>
      <c r="K16" s="282"/>
      <c r="L16" s="282"/>
      <c r="M16" s="282"/>
      <c r="N16" s="282"/>
      <c r="O16" s="312"/>
      <c r="P16" s="312"/>
      <c r="Q16" s="312"/>
      <c r="R16" s="312"/>
      <c r="S16" s="312"/>
      <c r="T16" s="321"/>
    </row>
    <row r="17" spans="1:20" ht="35.25" customHeight="1">
      <c r="A17" s="231" t="str">
        <f>'EXCELENCIA ACADÉMICA'!B14</f>
        <v>Fortalecer la oferta de programas académicos en modalidad presencial o virtual que contribuyan al desarrollo social y económico de las regiones.</v>
      </c>
      <c r="B17" s="57" t="str">
        <f>'EXCELENCIA ACADÉMICA'!D14</f>
        <v>ALTA
(80%)</v>
      </c>
      <c r="C17" s="98">
        <f>'EXCELENCIA ACADÉMICA'!AA14</f>
        <v>0</v>
      </c>
      <c r="D17" s="292">
        <f>SUM(C17:C18)</f>
        <v>0</v>
      </c>
      <c r="E17" s="314"/>
      <c r="F17" s="164"/>
      <c r="G17" s="200"/>
      <c r="H17" s="200"/>
      <c r="I17" s="200"/>
      <c r="J17" s="200"/>
      <c r="K17" s="200"/>
      <c r="L17" s="200"/>
      <c r="M17" s="200"/>
      <c r="N17" s="200"/>
      <c r="O17" s="98"/>
      <c r="P17" s="98"/>
      <c r="Q17" s="98">
        <f>C17</f>
        <v>0</v>
      </c>
      <c r="R17" s="98">
        <f>SUM(F17:Q17)</f>
        <v>0</v>
      </c>
      <c r="S17" s="298">
        <f>SUM(R17:R18)</f>
        <v>0</v>
      </c>
      <c r="T17" s="321"/>
    </row>
    <row r="18" spans="1:20" ht="35.25" customHeight="1">
      <c r="A18" s="231" t="str">
        <f>'EXCELENCIA ACADÉMICA'!B15</f>
        <v xml:space="preserve">Aumentar el número de estudiantes matriculados en los programas académicos de la institución. </v>
      </c>
      <c r="B18" s="57" t="str">
        <f>'EXCELENCIA ACADÉMICA'!D15</f>
        <v>ALTA
(80%)</v>
      </c>
      <c r="C18" s="98">
        <f>'EXCELENCIA ACADÉMICA'!AA15</f>
        <v>0</v>
      </c>
      <c r="D18" s="294"/>
      <c r="E18" s="314"/>
      <c r="F18" s="164"/>
      <c r="G18" s="200"/>
      <c r="H18" s="200"/>
      <c r="I18" s="200"/>
      <c r="J18" s="200"/>
      <c r="K18" s="200"/>
      <c r="L18" s="200"/>
      <c r="M18" s="200"/>
      <c r="N18" s="200"/>
      <c r="O18" s="98"/>
      <c r="P18" s="98"/>
      <c r="Q18" s="98">
        <f>C18</f>
        <v>0</v>
      </c>
      <c r="R18" s="98">
        <f>SUM(F18:Q18)</f>
        <v>0</v>
      </c>
      <c r="S18" s="298"/>
      <c r="T18" s="321"/>
    </row>
    <row r="19" spans="1:20">
      <c r="A19" s="286" t="s">
        <v>46</v>
      </c>
      <c r="B19" s="287"/>
      <c r="C19" s="287"/>
      <c r="D19" s="288"/>
      <c r="E19" s="314"/>
      <c r="F19" s="311"/>
      <c r="G19" s="282"/>
      <c r="H19" s="282"/>
      <c r="I19" s="282"/>
      <c r="J19" s="282"/>
      <c r="K19" s="282"/>
      <c r="L19" s="282"/>
      <c r="M19" s="282"/>
      <c r="N19" s="282"/>
      <c r="O19" s="312"/>
      <c r="P19" s="312"/>
      <c r="Q19" s="312"/>
      <c r="R19" s="312"/>
      <c r="S19" s="312"/>
      <c r="T19" s="321"/>
    </row>
    <row r="20" spans="1:20" ht="48.75" customHeight="1">
      <c r="A20" s="233" t="str">
        <f>'EXCELENCIA ACADÉMICA'!B16</f>
        <v>Fortalecer los procesos de selección, permanencia, promoción, evaluación y pronta graduación de estudiantes, (atendiendo la diversidad y multiculturalidad de la población, enfoque de género, personas en situación de discapacidad).</v>
      </c>
      <c r="B20" s="71" t="str">
        <f>'EXCELENCIA ACADÉMICA'!D16</f>
        <v>MEDIA
(60%)</v>
      </c>
      <c r="C20" s="98">
        <f>'EXCELENCIA ACADÉMICA'!AA16</f>
        <v>0</v>
      </c>
      <c r="D20" s="298">
        <f>SUM(C20:C21)</f>
        <v>0</v>
      </c>
      <c r="E20" s="314"/>
      <c r="F20" s="164"/>
      <c r="G20" s="200"/>
      <c r="H20" s="200"/>
      <c r="I20" s="200"/>
      <c r="J20" s="200"/>
      <c r="K20" s="200"/>
      <c r="L20" s="200"/>
      <c r="M20" s="200"/>
      <c r="N20" s="200"/>
      <c r="O20" s="98"/>
      <c r="P20" s="98"/>
      <c r="Q20" s="98">
        <f>C20</f>
        <v>0</v>
      </c>
      <c r="R20" s="98">
        <f>SUM(F20:Q20)</f>
        <v>0</v>
      </c>
      <c r="S20" s="298">
        <f>SUM(R20:R21)</f>
        <v>0</v>
      </c>
      <c r="T20" s="321"/>
    </row>
    <row r="21" spans="1:20" ht="33" customHeight="1">
      <c r="A21" s="233" t="str">
        <f>'EXCELENCIA ACADÉMICA'!B21</f>
        <v>Fortalecer mecanismos de seguimiento y acompañamiento a la gestión académica de estudiantes.</v>
      </c>
      <c r="B21" s="71" t="str">
        <f>'EXCELENCIA ACADÉMICA'!D21</f>
        <v>ALTA
(80%)</v>
      </c>
      <c r="C21" s="98">
        <f>'EXCELENCIA ACADÉMICA'!AA21</f>
        <v>0</v>
      </c>
      <c r="D21" s="298"/>
      <c r="E21" s="314"/>
      <c r="F21" s="164"/>
      <c r="G21" s="200"/>
      <c r="H21" s="200"/>
      <c r="I21" s="200"/>
      <c r="J21" s="200"/>
      <c r="K21" s="200"/>
      <c r="L21" s="200"/>
      <c r="M21" s="200"/>
      <c r="N21" s="200"/>
      <c r="O21" s="98"/>
      <c r="P21" s="98"/>
      <c r="Q21" s="98">
        <f>C21</f>
        <v>0</v>
      </c>
      <c r="R21" s="98">
        <f>SUM(F21:Q21)</f>
        <v>0</v>
      </c>
      <c r="S21" s="298"/>
      <c r="T21" s="321"/>
    </row>
    <row r="22" spans="1:20">
      <c r="A22" s="283" t="s">
        <v>47</v>
      </c>
      <c r="B22" s="284"/>
      <c r="C22" s="284"/>
      <c r="D22" s="285"/>
      <c r="E22" s="314"/>
      <c r="F22" s="311"/>
      <c r="G22" s="282"/>
      <c r="H22" s="282"/>
      <c r="I22" s="282"/>
      <c r="J22" s="282"/>
      <c r="K22" s="282"/>
      <c r="L22" s="282"/>
      <c r="M22" s="282"/>
      <c r="N22" s="282"/>
      <c r="O22" s="312"/>
      <c r="P22" s="312"/>
      <c r="Q22" s="312"/>
      <c r="R22" s="312"/>
      <c r="S22" s="312"/>
      <c r="T22" s="321"/>
    </row>
    <row r="23" spans="1:20" ht="36" customHeight="1">
      <c r="A23" s="233" t="str">
        <f>'EXCELENCIA ACADÉMICA'!B22</f>
        <v>Fortalecer el proceso de  selección docente UTS para mejorar el desarrollo académico y científico de la comunidad académica.</v>
      </c>
      <c r="B23" s="71" t="str">
        <f>'EXCELENCIA ACADÉMICA'!D22</f>
        <v>ALTA
(80%)</v>
      </c>
      <c r="C23" s="225">
        <f>'EXCELENCIA ACADÉMICA'!AA22</f>
        <v>3751720779.3101845</v>
      </c>
      <c r="D23" s="298">
        <f>SUM(C23:C24)</f>
        <v>3751720779.3101845</v>
      </c>
      <c r="E23" s="314"/>
      <c r="F23" s="164">
        <f>C23/2</f>
        <v>1875860389.6550922</v>
      </c>
      <c r="G23" s="200"/>
      <c r="H23" s="200"/>
      <c r="I23" s="200"/>
      <c r="J23" s="200"/>
      <c r="K23" s="200"/>
      <c r="L23" s="200"/>
      <c r="M23" s="200">
        <f>C23/2</f>
        <v>1875860389.6550922</v>
      </c>
      <c r="N23" s="200"/>
      <c r="O23" s="98"/>
      <c r="P23" s="98"/>
      <c r="Q23" s="98"/>
      <c r="R23" s="98">
        <f>SUM(F23:Q23)</f>
        <v>3751720779.3101845</v>
      </c>
      <c r="S23" s="298">
        <f>SUM(R23:R24)</f>
        <v>3751720779.3101845</v>
      </c>
      <c r="T23" s="321"/>
    </row>
    <row r="24" spans="1:20" ht="61.5" customHeight="1">
      <c r="A24" s="233" t="str">
        <f>'EXCELENCIA ACADÉMICA'!B27</f>
        <v xml:space="preserve">Fortalecer el Plan de Capacitación Docente UTS en los saberes pedagógicos, disciplinares y multidisciplinares del personal académico:  diversidad e inclusión, interculturalidad, enfoque de género, mediaciones pedagógicas a través de TIC para personas en situación de discapacidad, innovación educativa, formación por competencias y resultados de aprendizajes. </v>
      </c>
      <c r="B24" s="71" t="str">
        <f>'EXCELENCIA ACADÉMICA'!D27</f>
        <v>ALTA
(80%)</v>
      </c>
      <c r="C24" s="98">
        <f>'EXCELENCIA ACADÉMICA'!AA27</f>
        <v>0</v>
      </c>
      <c r="D24" s="298"/>
      <c r="E24" s="314"/>
      <c r="F24" s="164"/>
      <c r="G24" s="200"/>
      <c r="H24" s="200"/>
      <c r="I24" s="200"/>
      <c r="J24" s="200"/>
      <c r="K24" s="200"/>
      <c r="L24" s="200"/>
      <c r="M24" s="200"/>
      <c r="N24" s="200"/>
      <c r="O24" s="98"/>
      <c r="P24" s="98"/>
      <c r="Q24" s="98">
        <f>C24</f>
        <v>0</v>
      </c>
      <c r="R24" s="98">
        <f>SUM(F24:Q24)</f>
        <v>0</v>
      </c>
      <c r="S24" s="298"/>
      <c r="T24" s="321"/>
    </row>
    <row r="25" spans="1:20">
      <c r="A25" s="283" t="s">
        <v>48</v>
      </c>
      <c r="B25" s="284"/>
      <c r="C25" s="284"/>
      <c r="D25" s="285"/>
      <c r="E25" s="314"/>
      <c r="F25" s="311"/>
      <c r="G25" s="282"/>
      <c r="H25" s="282"/>
      <c r="I25" s="282"/>
      <c r="J25" s="282"/>
      <c r="K25" s="282"/>
      <c r="L25" s="282"/>
      <c r="M25" s="282"/>
      <c r="N25" s="282"/>
      <c r="O25" s="312"/>
      <c r="P25" s="312"/>
      <c r="Q25" s="312"/>
      <c r="R25" s="312"/>
      <c r="S25" s="312"/>
      <c r="T25" s="321"/>
    </row>
    <row r="26" spans="1:20" ht="36.75" customHeight="1">
      <c r="A26" s="233" t="str">
        <f>'EXCELENCIA ACADÉMICA'!B28</f>
        <v xml:space="preserve">Fomentar el uso de diversos ambientes de aprendizaje, para soportar los procesos formativos. </v>
      </c>
      <c r="B26" s="71" t="str">
        <f>'EXCELENCIA ACADÉMICA'!D28</f>
        <v>ALTA
(87%)</v>
      </c>
      <c r="C26" s="98">
        <f>'EXCELENCIA ACADÉMICA'!AA28</f>
        <v>0</v>
      </c>
      <c r="D26" s="98">
        <f>C26</f>
        <v>0</v>
      </c>
      <c r="E26" s="314"/>
      <c r="F26" s="164"/>
      <c r="G26" s="200"/>
      <c r="H26" s="200"/>
      <c r="I26" s="200"/>
      <c r="J26" s="200"/>
      <c r="K26" s="200"/>
      <c r="L26" s="200"/>
      <c r="M26" s="200"/>
      <c r="N26" s="200"/>
      <c r="O26" s="98"/>
      <c r="P26" s="98"/>
      <c r="Q26" s="98">
        <f>C26</f>
        <v>0</v>
      </c>
      <c r="R26" s="98">
        <f>SUM(F26:Q26)</f>
        <v>0</v>
      </c>
      <c r="S26" s="98">
        <f>R26</f>
        <v>0</v>
      </c>
      <c r="T26" s="321"/>
    </row>
    <row r="27" spans="1:20" ht="21" customHeight="1">
      <c r="A27" s="310" t="s">
        <v>19</v>
      </c>
      <c r="B27" s="310"/>
      <c r="C27" s="310"/>
      <c r="D27" s="310"/>
      <c r="E27" s="302"/>
      <c r="F27" s="203">
        <f>F29+F30+F31+F32+F34+F35+F36+F37+F38+F40+F41</f>
        <v>0</v>
      </c>
      <c r="G27" s="204">
        <f t="shared" ref="G27:Q27" si="1">G29+G30+G31+G32+G34+G35+G36+G37+G38+G40+G41</f>
        <v>0</v>
      </c>
      <c r="H27" s="204">
        <f t="shared" si="1"/>
        <v>1816607730.6060801</v>
      </c>
      <c r="I27" s="204">
        <f t="shared" si="1"/>
        <v>0</v>
      </c>
      <c r="J27" s="204">
        <f t="shared" si="1"/>
        <v>0</v>
      </c>
      <c r="K27" s="204">
        <f t="shared" si="1"/>
        <v>0</v>
      </c>
      <c r="L27" s="204">
        <f t="shared" si="1"/>
        <v>0</v>
      </c>
      <c r="M27" s="204">
        <f t="shared" si="1"/>
        <v>0</v>
      </c>
      <c r="N27" s="204">
        <f t="shared" si="1"/>
        <v>0</v>
      </c>
      <c r="O27" s="204">
        <f t="shared" si="1"/>
        <v>0</v>
      </c>
      <c r="P27" s="204">
        <f t="shared" si="1"/>
        <v>0</v>
      </c>
      <c r="Q27" s="204">
        <f t="shared" si="1"/>
        <v>0</v>
      </c>
      <c r="R27" s="175"/>
      <c r="S27" s="175"/>
      <c r="T27" s="177"/>
    </row>
    <row r="28" spans="1:20">
      <c r="A28" s="273" t="s">
        <v>49</v>
      </c>
      <c r="B28" s="274"/>
      <c r="C28" s="274"/>
      <c r="D28" s="275"/>
      <c r="E28" s="305">
        <f>D29+D34+D40</f>
        <v>1816607730.6060801</v>
      </c>
      <c r="F28" s="295"/>
      <c r="G28" s="296"/>
      <c r="H28" s="296"/>
      <c r="I28" s="296"/>
      <c r="J28" s="296"/>
      <c r="K28" s="296"/>
      <c r="L28" s="296"/>
      <c r="M28" s="296"/>
      <c r="N28" s="296"/>
      <c r="O28" s="297"/>
      <c r="P28" s="297"/>
      <c r="Q28" s="297"/>
      <c r="R28" s="297"/>
      <c r="S28" s="297"/>
      <c r="T28" s="276">
        <f>S29+S34+S40</f>
        <v>1816607730.6060801</v>
      </c>
    </row>
    <row r="29" spans="1:20" ht="36" customHeight="1">
      <c r="A29" s="232" t="str">
        <f>'CIENCIA E INVESTIGACIÓN'!B5</f>
        <v>Ambiente y cultura institucional en ciencia, tecnología e innovación.</v>
      </c>
      <c r="B29" s="45" t="str">
        <f>'CIENCIA E INVESTIGACIÓN'!D5</f>
        <v>ALTA
(95%</v>
      </c>
      <c r="C29" s="98">
        <f>'CIENCIA E INVESTIGACIÓN'!AA5</f>
        <v>315931779.23583996</v>
      </c>
      <c r="D29" s="292">
        <f>SUM(C29:C32)</f>
        <v>1579658896.1791999</v>
      </c>
      <c r="E29" s="306"/>
      <c r="F29" s="164"/>
      <c r="G29" s="200"/>
      <c r="H29" s="200">
        <f>C29</f>
        <v>315931779.23583996</v>
      </c>
      <c r="I29" s="200"/>
      <c r="J29" s="200"/>
      <c r="K29" s="200"/>
      <c r="L29" s="200"/>
      <c r="M29" s="200"/>
      <c r="N29" s="200"/>
      <c r="O29" s="98"/>
      <c r="P29" s="98"/>
      <c r="Q29" s="98"/>
      <c r="R29" s="98">
        <f>SUM(F29:Q29)</f>
        <v>315931779.23583996</v>
      </c>
      <c r="S29" s="298">
        <f>SUM(R29:R32)</f>
        <v>1579658896.1791999</v>
      </c>
      <c r="T29" s="277"/>
    </row>
    <row r="30" spans="1:20" ht="36" customHeight="1">
      <c r="A30" s="232" t="str">
        <f>'CIENCIA E INVESTIGACIÓN'!B7</f>
        <v>Investigación aplicada al servicio del sector externo.</v>
      </c>
      <c r="B30" s="45" t="str">
        <f>'CIENCIA E INVESTIGACIÓN'!D7</f>
        <v>ALTA
(95%</v>
      </c>
      <c r="C30" s="98">
        <f>'CIENCIA E INVESTIGACIÓN'!AA7</f>
        <v>394914724.04480004</v>
      </c>
      <c r="D30" s="293"/>
      <c r="E30" s="306"/>
      <c r="F30" s="164"/>
      <c r="G30" s="200"/>
      <c r="H30" s="200">
        <f>C30</f>
        <v>394914724.04480004</v>
      </c>
      <c r="I30" s="200"/>
      <c r="J30" s="200"/>
      <c r="K30" s="200"/>
      <c r="L30" s="200"/>
      <c r="M30" s="200"/>
      <c r="N30" s="200"/>
      <c r="O30" s="98"/>
      <c r="P30" s="98"/>
      <c r="Q30" s="98"/>
      <c r="R30" s="98">
        <f>SUM(F30:Q30)</f>
        <v>394914724.04480004</v>
      </c>
      <c r="S30" s="298"/>
      <c r="T30" s="277"/>
    </row>
    <row r="31" spans="1:20" ht="36" customHeight="1">
      <c r="A31" s="232" t="str">
        <f>'CIENCIA E INVESTIGACIÓN'!B9</f>
        <v xml:space="preserve">Tecnología, conocimiento y sociedad.      </v>
      </c>
      <c r="B31" s="45" t="str">
        <f>'CIENCIA E INVESTIGACIÓN'!D9</f>
        <v>ALTA
(95%</v>
      </c>
      <c r="C31" s="98">
        <f>'CIENCIA E INVESTIGACIÓN'!AA9</f>
        <v>473897668.85376</v>
      </c>
      <c r="D31" s="293"/>
      <c r="E31" s="306"/>
      <c r="F31" s="164"/>
      <c r="G31" s="200"/>
      <c r="H31" s="200">
        <f>C31</f>
        <v>473897668.85376</v>
      </c>
      <c r="I31" s="200"/>
      <c r="J31" s="200"/>
      <c r="K31" s="200"/>
      <c r="L31" s="200"/>
      <c r="M31" s="200"/>
      <c r="N31" s="200"/>
      <c r="O31" s="98"/>
      <c r="P31" s="98"/>
      <c r="Q31" s="98"/>
      <c r="R31" s="98">
        <f>SUM(F31:Q31)</f>
        <v>473897668.85376</v>
      </c>
      <c r="S31" s="298"/>
      <c r="T31" s="277"/>
    </row>
    <row r="32" spans="1:20" ht="36" customHeight="1">
      <c r="A32" s="232" t="str">
        <f>'CIENCIA E INVESTIGACIÓN'!B13</f>
        <v xml:space="preserve">Cooperación nacional e internacional. </v>
      </c>
      <c r="B32" s="45" t="str">
        <f>'CIENCIA E INVESTIGACIÓN'!D13</f>
        <v>ALTA
(95%</v>
      </c>
      <c r="C32" s="98">
        <f>'CIENCIA E INVESTIGACIÓN'!AA13</f>
        <v>394914724.04479998</v>
      </c>
      <c r="D32" s="294"/>
      <c r="E32" s="306"/>
      <c r="F32" s="164"/>
      <c r="G32" s="200"/>
      <c r="H32" s="200">
        <f>C32</f>
        <v>394914724.04479998</v>
      </c>
      <c r="I32" s="200"/>
      <c r="J32" s="200"/>
      <c r="K32" s="200"/>
      <c r="L32" s="200"/>
      <c r="M32" s="200"/>
      <c r="N32" s="200"/>
      <c r="O32" s="98"/>
      <c r="P32" s="98"/>
      <c r="Q32" s="98"/>
      <c r="R32" s="98">
        <f>SUM(F32:Q32)</f>
        <v>394914724.04479998</v>
      </c>
      <c r="S32" s="298"/>
      <c r="T32" s="277"/>
    </row>
    <row r="33" spans="1:20">
      <c r="A33" s="283" t="s">
        <v>50</v>
      </c>
      <c r="B33" s="284"/>
      <c r="C33" s="284"/>
      <c r="D33" s="285"/>
      <c r="E33" s="306"/>
      <c r="F33" s="295"/>
      <c r="G33" s="296"/>
      <c r="H33" s="296"/>
      <c r="I33" s="296"/>
      <c r="J33" s="296"/>
      <c r="K33" s="296"/>
      <c r="L33" s="296"/>
      <c r="M33" s="296"/>
      <c r="N33" s="296"/>
      <c r="O33" s="297"/>
      <c r="P33" s="297"/>
      <c r="Q33" s="297"/>
      <c r="R33" s="297"/>
      <c r="S33" s="297"/>
      <c r="T33" s="277"/>
    </row>
    <row r="34" spans="1:20" ht="33.75" customHeight="1">
      <c r="A34" s="232" t="str">
        <f>'CIENCIA E INVESTIGACIÓN'!B15</f>
        <v>Investigación, educación y comunidad.</v>
      </c>
      <c r="B34" s="45" t="str">
        <f>'CIENCIA E INVESTIGACIÓN'!D15</f>
        <v>ALTA
(100%)</v>
      </c>
      <c r="C34" s="98">
        <f>'CIENCIA E INVESTIGACIÓN'!AA15</f>
        <v>0</v>
      </c>
      <c r="D34" s="292">
        <f>SUM(C34:C38)</f>
        <v>0</v>
      </c>
      <c r="E34" s="306"/>
      <c r="F34" s="164"/>
      <c r="G34" s="200"/>
      <c r="H34" s="200"/>
      <c r="I34" s="200"/>
      <c r="J34" s="200"/>
      <c r="K34" s="200"/>
      <c r="L34" s="200"/>
      <c r="M34" s="200"/>
      <c r="N34" s="200"/>
      <c r="O34" s="98"/>
      <c r="P34" s="98"/>
      <c r="Q34" s="98">
        <f>C34</f>
        <v>0</v>
      </c>
      <c r="R34" s="98">
        <f>SUM(F34:Q34)</f>
        <v>0</v>
      </c>
      <c r="S34" s="298">
        <f>SUM(R34:R38)</f>
        <v>0</v>
      </c>
      <c r="T34" s="277"/>
    </row>
    <row r="35" spans="1:20" ht="33.75" customHeight="1">
      <c r="A35" s="232" t="str">
        <f>'CIENCIA E INVESTIGACIÓN'!B17</f>
        <v xml:space="preserve">La investigación y los focos estratégicos del contexto global. </v>
      </c>
      <c r="B35" s="45" t="str">
        <f>'CIENCIA E INVESTIGACIÓN'!D17</f>
        <v>ALTA
(100%)</v>
      </c>
      <c r="C35" s="98">
        <f>'CIENCIA E INVESTIGACIÓN'!AA17</f>
        <v>0</v>
      </c>
      <c r="D35" s="293"/>
      <c r="E35" s="306"/>
      <c r="F35" s="164"/>
      <c r="G35" s="200"/>
      <c r="H35" s="200"/>
      <c r="I35" s="200"/>
      <c r="J35" s="200"/>
      <c r="K35" s="200"/>
      <c r="L35" s="200"/>
      <c r="M35" s="200"/>
      <c r="N35" s="200"/>
      <c r="O35" s="98"/>
      <c r="P35" s="98"/>
      <c r="Q35" s="98">
        <f>C35</f>
        <v>0</v>
      </c>
      <c r="R35" s="98">
        <f>SUM(F35:Q35)</f>
        <v>0</v>
      </c>
      <c r="S35" s="298"/>
      <c r="T35" s="277"/>
    </row>
    <row r="36" spans="1:20" ht="33.75" customHeight="1">
      <c r="A36" s="232" t="str">
        <f>'CIENCIA E INVESTIGACIÓN'!B20</f>
        <v>Investigación formativa.</v>
      </c>
      <c r="B36" s="45" t="str">
        <f>'CIENCIA E INVESTIGACIÓN'!D20</f>
        <v>ALTA
(100%)</v>
      </c>
      <c r="C36" s="98">
        <f>'CIENCIA E INVESTIGACIÓN'!AA20</f>
        <v>0</v>
      </c>
      <c r="D36" s="293"/>
      <c r="E36" s="306"/>
      <c r="F36" s="164"/>
      <c r="G36" s="200"/>
      <c r="H36" s="200"/>
      <c r="I36" s="200"/>
      <c r="J36" s="200"/>
      <c r="K36" s="200"/>
      <c r="L36" s="200"/>
      <c r="M36" s="200"/>
      <c r="N36" s="200"/>
      <c r="O36" s="98"/>
      <c r="P36" s="98"/>
      <c r="Q36" s="98">
        <f>C36</f>
        <v>0</v>
      </c>
      <c r="R36" s="98">
        <f>SUM(F36:Q36)</f>
        <v>0</v>
      </c>
      <c r="S36" s="298"/>
      <c r="T36" s="277"/>
    </row>
    <row r="37" spans="1:20" ht="33.75" customHeight="1">
      <c r="A37" s="232" t="str">
        <f>'CIENCIA E INVESTIGACIÓN'!B22</f>
        <v>Formación para la investigación</v>
      </c>
      <c r="B37" s="45" t="str">
        <f>'CIENCIA E INVESTIGACIÓN'!D22</f>
        <v>ALTA
(100%)</v>
      </c>
      <c r="C37" s="98">
        <f>'CIENCIA E INVESTIGACIÓN'!AA22</f>
        <v>0</v>
      </c>
      <c r="D37" s="293"/>
      <c r="E37" s="306"/>
      <c r="F37" s="164"/>
      <c r="G37" s="200"/>
      <c r="H37" s="200"/>
      <c r="I37" s="200"/>
      <c r="J37" s="200"/>
      <c r="K37" s="200"/>
      <c r="L37" s="200"/>
      <c r="M37" s="200"/>
      <c r="N37" s="200"/>
      <c r="O37" s="98"/>
      <c r="P37" s="98"/>
      <c r="Q37" s="98">
        <f>C37</f>
        <v>0</v>
      </c>
      <c r="R37" s="98">
        <f>SUM(F37:Q37)</f>
        <v>0</v>
      </c>
      <c r="S37" s="298"/>
      <c r="T37" s="277"/>
    </row>
    <row r="38" spans="1:20" ht="33.75" customHeight="1">
      <c r="A38" s="232" t="str">
        <f>'CIENCIA E INVESTIGACIÓN'!B24</f>
        <v>Investigación científica.</v>
      </c>
      <c r="B38" s="45" t="str">
        <f>'CIENCIA E INVESTIGACIÓN'!D24</f>
        <v>ALTA
(100%)</v>
      </c>
      <c r="C38" s="98">
        <f>'CIENCIA E INVESTIGACIÓN'!AA24</f>
        <v>0</v>
      </c>
      <c r="D38" s="294"/>
      <c r="E38" s="306"/>
      <c r="F38" s="164"/>
      <c r="G38" s="200"/>
      <c r="H38" s="200"/>
      <c r="I38" s="200"/>
      <c r="J38" s="200"/>
      <c r="K38" s="200"/>
      <c r="L38" s="200"/>
      <c r="M38" s="200"/>
      <c r="N38" s="200"/>
      <c r="O38" s="98"/>
      <c r="P38" s="98"/>
      <c r="Q38" s="98">
        <f>C38</f>
        <v>0</v>
      </c>
      <c r="R38" s="98">
        <f>SUM(F38:Q38)</f>
        <v>0</v>
      </c>
      <c r="S38" s="298"/>
      <c r="T38" s="277"/>
    </row>
    <row r="39" spans="1:20">
      <c r="A39" s="283" t="s">
        <v>51</v>
      </c>
      <c r="B39" s="284"/>
      <c r="C39" s="284"/>
      <c r="D39" s="285"/>
      <c r="E39" s="306"/>
      <c r="F39" s="295"/>
      <c r="G39" s="296"/>
      <c r="H39" s="296"/>
      <c r="I39" s="296"/>
      <c r="J39" s="296"/>
      <c r="K39" s="296"/>
      <c r="L39" s="296"/>
      <c r="M39" s="296"/>
      <c r="N39" s="296"/>
      <c r="O39" s="297"/>
      <c r="P39" s="297"/>
      <c r="Q39" s="297"/>
      <c r="R39" s="297"/>
      <c r="S39" s="297"/>
      <c r="T39" s="277"/>
    </row>
    <row r="40" spans="1:20" ht="38.25" customHeight="1">
      <c r="A40" s="232" t="str">
        <f>'CIENCIA E INVESTIGACIÓN'!B27</f>
        <v>Cultura ciudadana y formación integral.</v>
      </c>
      <c r="B40" s="45" t="str">
        <f>'CIENCIA E INVESTIGACIÓN'!D27</f>
        <v>ALTA
(80%)</v>
      </c>
      <c r="C40" s="98">
        <f>'CIENCIA E INVESTIGACIÓN'!AA27</f>
        <v>0</v>
      </c>
      <c r="D40" s="292">
        <f>SUM(C40:C41)</f>
        <v>236948834.42688</v>
      </c>
      <c r="E40" s="306"/>
      <c r="F40" s="164"/>
      <c r="G40" s="200"/>
      <c r="H40" s="200"/>
      <c r="I40" s="200"/>
      <c r="J40" s="200"/>
      <c r="K40" s="200"/>
      <c r="L40" s="200"/>
      <c r="M40" s="200"/>
      <c r="N40" s="200"/>
      <c r="O40" s="98"/>
      <c r="P40" s="98"/>
      <c r="Q40" s="98">
        <f>C40</f>
        <v>0</v>
      </c>
      <c r="R40" s="98">
        <f>SUM(F40:Q40)</f>
        <v>0</v>
      </c>
      <c r="S40" s="298">
        <f>SUM(R40:R41)</f>
        <v>236948834.42688</v>
      </c>
      <c r="T40" s="277"/>
    </row>
    <row r="41" spans="1:20" ht="38.25" customHeight="1">
      <c r="A41" s="232" t="str">
        <f>'CIENCIA E INVESTIGACIÓN'!B28</f>
        <v>Cultura y territorios inteligentes.</v>
      </c>
      <c r="B41" s="45" t="str">
        <f>'CIENCIA E INVESTIGACIÓN'!D28</f>
        <v>ALTA
(80%)</v>
      </c>
      <c r="C41" s="98">
        <f>'CIENCIA E INVESTIGACIÓN'!AA28</f>
        <v>236948834.42688</v>
      </c>
      <c r="D41" s="294"/>
      <c r="E41" s="307"/>
      <c r="F41" s="164"/>
      <c r="G41" s="200"/>
      <c r="H41" s="200">
        <f>C41</f>
        <v>236948834.42688</v>
      </c>
      <c r="I41" s="200"/>
      <c r="J41" s="200"/>
      <c r="K41" s="200"/>
      <c r="L41" s="200"/>
      <c r="M41" s="200"/>
      <c r="N41" s="200"/>
      <c r="O41" s="98"/>
      <c r="P41" s="98"/>
      <c r="Q41" s="98"/>
      <c r="R41" s="98">
        <f>SUM(F41:Q41)</f>
        <v>236948834.42688</v>
      </c>
      <c r="S41" s="298"/>
      <c r="T41" s="278"/>
    </row>
    <row r="42" spans="1:20" ht="21" customHeight="1">
      <c r="A42" s="310" t="s">
        <v>20</v>
      </c>
      <c r="B42" s="310"/>
      <c r="C42" s="310"/>
      <c r="D42" s="310"/>
      <c r="E42" s="302"/>
      <c r="F42" s="203">
        <f>F44+F45+F47+F48+F50+F51+F53+F54+F56+F57+F58+F59+F60+F62+F64+F65</f>
        <v>0</v>
      </c>
      <c r="G42" s="204">
        <f t="shared" ref="G42:Q42" si="2">G44+G45+G47+G48+G50+G51+G53+G54+G56+G57+G58+G59+G60+G62+G64+G65</f>
        <v>0</v>
      </c>
      <c r="H42" s="204">
        <f t="shared" si="2"/>
        <v>626863558.47167993</v>
      </c>
      <c r="I42" s="204">
        <f t="shared" si="2"/>
        <v>0</v>
      </c>
      <c r="J42" s="204">
        <f t="shared" si="2"/>
        <v>0</v>
      </c>
      <c r="K42" s="204">
        <f t="shared" si="2"/>
        <v>132432092.049408</v>
      </c>
      <c r="L42" s="204">
        <f t="shared" si="2"/>
        <v>0</v>
      </c>
      <c r="M42" s="204">
        <f t="shared" si="2"/>
        <v>0</v>
      </c>
      <c r="N42" s="204">
        <f t="shared" si="2"/>
        <v>0</v>
      </c>
      <c r="O42" s="204">
        <f t="shared" si="2"/>
        <v>0</v>
      </c>
      <c r="P42" s="204">
        <f t="shared" si="2"/>
        <v>0</v>
      </c>
      <c r="Q42" s="204">
        <f t="shared" si="2"/>
        <v>0</v>
      </c>
      <c r="R42" s="175"/>
      <c r="S42" s="175"/>
      <c r="T42" s="177"/>
    </row>
    <row r="43" spans="1:20">
      <c r="A43" s="273" t="s">
        <v>52</v>
      </c>
      <c r="B43" s="274"/>
      <c r="C43" s="274"/>
      <c r="D43" s="275"/>
      <c r="E43" s="305">
        <f>D44+D47+D50+D53+D56+D62+D64</f>
        <v>759295650.52108788</v>
      </c>
      <c r="F43" s="295"/>
      <c r="G43" s="296"/>
      <c r="H43" s="296"/>
      <c r="I43" s="296"/>
      <c r="J43" s="296"/>
      <c r="K43" s="296"/>
      <c r="L43" s="296"/>
      <c r="M43" s="296"/>
      <c r="N43" s="296"/>
      <c r="O43" s="297"/>
      <c r="P43" s="297"/>
      <c r="Q43" s="297"/>
      <c r="R43" s="297"/>
      <c r="S43" s="297"/>
      <c r="T43" s="276">
        <f>S44+S47+S50+S53+S56+S62+S64</f>
        <v>759295650.52108788</v>
      </c>
    </row>
    <row r="44" spans="1:20" ht="35.25" customHeight="1">
      <c r="A44" s="232" t="str">
        <f>'EXTENSIÓN Y GESTIÓN SOCIAL'!B5</f>
        <v>Realizar alianzas con instituciones educativas y organizaciones nacionales e internacionales que permitan el acceso a plataformas tecnológicas para diversificar la oferta y generar valor agregado.</v>
      </c>
      <c r="B44" s="45" t="str">
        <f>'EXTENSIÓN Y GESTIÓN SOCIAL'!D5</f>
        <v>ALTA
(89%)</v>
      </c>
      <c r="C44" s="98">
        <f>'EXTENSIÓN Y GESTIÓN SOCIAL'!AA5</f>
        <v>0</v>
      </c>
      <c r="D44" s="292">
        <f>SUM(C44:C45)</f>
        <v>0</v>
      </c>
      <c r="E44" s="306"/>
      <c r="F44" s="164"/>
      <c r="G44" s="200"/>
      <c r="H44" s="200"/>
      <c r="I44" s="200"/>
      <c r="J44" s="200"/>
      <c r="K44" s="200"/>
      <c r="L44" s="200"/>
      <c r="M44" s="200"/>
      <c r="N44" s="200"/>
      <c r="O44" s="98"/>
      <c r="P44" s="98"/>
      <c r="Q44" s="98">
        <f>C44</f>
        <v>0</v>
      </c>
      <c r="R44" s="98">
        <f>SUM(F44:Q44)</f>
        <v>0</v>
      </c>
      <c r="S44" s="298">
        <f>SUM(R44:R45)</f>
        <v>0</v>
      </c>
      <c r="T44" s="277"/>
    </row>
    <row r="45" spans="1:20" ht="35.25" customHeight="1">
      <c r="A45" s="232" t="str">
        <f>'EXTENSIÓN Y GESTIÓN SOCIAL'!B6</f>
        <v>Establecer alianzas con entidades públicas y privadas que contribuyan a la construcción de proyectos de investigación, desarrollo e innovación en conjunto con la comunidad académica.</v>
      </c>
      <c r="B45" s="45" t="str">
        <f>'EXTENSIÓN Y GESTIÓN SOCIAL'!D6</f>
        <v>MEDIA
(73%)</v>
      </c>
      <c r="C45" s="98">
        <f>'EXTENSIÓN Y GESTIÓN SOCIAL'!AA6</f>
        <v>0</v>
      </c>
      <c r="D45" s="294"/>
      <c r="E45" s="306"/>
      <c r="F45" s="164"/>
      <c r="G45" s="200"/>
      <c r="H45" s="200"/>
      <c r="I45" s="200"/>
      <c r="J45" s="200"/>
      <c r="K45" s="200"/>
      <c r="L45" s="200"/>
      <c r="M45" s="200"/>
      <c r="N45" s="200"/>
      <c r="O45" s="98"/>
      <c r="P45" s="98"/>
      <c r="Q45" s="98">
        <f>C45</f>
        <v>0</v>
      </c>
      <c r="R45" s="98">
        <f>SUM(F45:Q45)</f>
        <v>0</v>
      </c>
      <c r="S45" s="298"/>
      <c r="T45" s="277"/>
    </row>
    <row r="46" spans="1:20">
      <c r="A46" s="273" t="s">
        <v>53</v>
      </c>
      <c r="B46" s="274"/>
      <c r="C46" s="274"/>
      <c r="D46" s="275"/>
      <c r="E46" s="306"/>
      <c r="F46" s="295"/>
      <c r="G46" s="296"/>
      <c r="H46" s="296"/>
      <c r="I46" s="296"/>
      <c r="J46" s="296"/>
      <c r="K46" s="296"/>
      <c r="L46" s="296"/>
      <c r="M46" s="296"/>
      <c r="N46" s="296"/>
      <c r="O46" s="297"/>
      <c r="P46" s="297"/>
      <c r="Q46" s="297"/>
      <c r="R46" s="297"/>
      <c r="S46" s="297"/>
      <c r="T46" s="277"/>
    </row>
    <row r="47" spans="1:20" ht="39" customHeight="1">
      <c r="A47" s="232" t="str">
        <f>'EXTENSIÓN Y GESTIÓN SOCIAL'!B7</f>
        <v>Crear un observatorio de proyección social que realice seguimiento al entorno laboral, gubernamental y empresarial permitiendo a la institución conocer las necesidades de la región y del país.</v>
      </c>
      <c r="B47" s="45" t="str">
        <f>'EXTENSIÓN Y GESTIÓN SOCIAL'!D7</f>
        <v>MEDIA
(64%)</v>
      </c>
      <c r="C47" s="98">
        <f>'EXTENSIÓN Y GESTIÓN SOCIAL'!AA7</f>
        <v>0</v>
      </c>
      <c r="D47" s="292">
        <f>SUM(C47:C48)</f>
        <v>0</v>
      </c>
      <c r="E47" s="306"/>
      <c r="F47" s="164"/>
      <c r="G47" s="200"/>
      <c r="H47" s="200"/>
      <c r="I47" s="200"/>
      <c r="J47" s="200"/>
      <c r="K47" s="200"/>
      <c r="L47" s="200"/>
      <c r="M47" s="200"/>
      <c r="N47" s="200"/>
      <c r="O47" s="98"/>
      <c r="P47" s="98"/>
      <c r="Q47" s="98">
        <f>C47</f>
        <v>0</v>
      </c>
      <c r="R47" s="98">
        <f>SUM(F47:Q47)</f>
        <v>0</v>
      </c>
      <c r="S47" s="298">
        <f>SUM(R47:R48)</f>
        <v>0</v>
      </c>
      <c r="T47" s="277"/>
    </row>
    <row r="48" spans="1:20" ht="39" customHeight="1">
      <c r="A48" s="232" t="str">
        <f>'EXTENSIÓN Y GESTIÓN SOCIAL'!B10</f>
        <v>Formular proyectos de inversión que apunten a las metas de los planes de desarrollo local, regional y nacional y se articulen con la planeación estratégica de la institución.</v>
      </c>
      <c r="B48" s="45" t="str">
        <f>'EXTENSIÓN Y GESTIÓN SOCIAL'!D10</f>
        <v>MEDIA
(79%)</v>
      </c>
      <c r="C48" s="98">
        <f>'EXTENSIÓN Y GESTIÓN SOCIAL'!AA10</f>
        <v>0</v>
      </c>
      <c r="D48" s="294"/>
      <c r="E48" s="306"/>
      <c r="F48" s="164"/>
      <c r="G48" s="200"/>
      <c r="H48" s="200"/>
      <c r="I48" s="200"/>
      <c r="J48" s="200"/>
      <c r="K48" s="200"/>
      <c r="L48" s="200"/>
      <c r="M48" s="200"/>
      <c r="N48" s="200"/>
      <c r="O48" s="98"/>
      <c r="P48" s="98"/>
      <c r="Q48" s="98">
        <f>C48</f>
        <v>0</v>
      </c>
      <c r="R48" s="98">
        <f>SUM(F48:Q48)</f>
        <v>0</v>
      </c>
      <c r="S48" s="298"/>
      <c r="T48" s="277"/>
    </row>
    <row r="49" spans="1:20">
      <c r="A49" s="273" t="s">
        <v>54</v>
      </c>
      <c r="B49" s="274"/>
      <c r="C49" s="274"/>
      <c r="D49" s="275"/>
      <c r="E49" s="306"/>
      <c r="F49" s="295"/>
      <c r="G49" s="296"/>
      <c r="H49" s="296"/>
      <c r="I49" s="296"/>
      <c r="J49" s="296"/>
      <c r="K49" s="296"/>
      <c r="L49" s="296"/>
      <c r="M49" s="296"/>
      <c r="N49" s="296"/>
      <c r="O49" s="297"/>
      <c r="P49" s="297"/>
      <c r="Q49" s="297"/>
      <c r="R49" s="297"/>
      <c r="S49" s="297"/>
      <c r="T49" s="277"/>
    </row>
    <row r="50" spans="1:20" ht="35.25" customHeight="1">
      <c r="A50" s="232" t="str">
        <f>'EXTENSIÓN Y GESTIÓN SOCIAL'!B12</f>
        <v>Desarrollar estudios para conocer el impacto de la institución en la sociedad con sus contribuciones científicas, tecnológicas, de innovación y de creación.</v>
      </c>
      <c r="B50" s="45" t="str">
        <f>'EXTENSIÓN Y GESTIÓN SOCIAL'!D12</f>
        <v>ALTA
(90%)</v>
      </c>
      <c r="C50" s="98">
        <f>'EXTENSIÓN Y GESTIÓN SOCIAL'!AA12</f>
        <v>0</v>
      </c>
      <c r="D50" s="292">
        <f>SUM(C50:C51)</f>
        <v>34491472.404479995</v>
      </c>
      <c r="E50" s="306"/>
      <c r="F50" s="164"/>
      <c r="G50" s="200"/>
      <c r="H50" s="200"/>
      <c r="I50" s="200"/>
      <c r="J50" s="200"/>
      <c r="K50" s="200"/>
      <c r="L50" s="200"/>
      <c r="M50" s="200"/>
      <c r="N50" s="200"/>
      <c r="O50" s="98"/>
      <c r="P50" s="98"/>
      <c r="Q50" s="98">
        <f>C50</f>
        <v>0</v>
      </c>
      <c r="R50" s="98">
        <f>SUM(F50:Q50)</f>
        <v>0</v>
      </c>
      <c r="S50" s="298">
        <f>SUM(R50:R51)</f>
        <v>34491472.404479995</v>
      </c>
      <c r="T50" s="277"/>
    </row>
    <row r="51" spans="1:20" ht="35.25" customHeight="1">
      <c r="A51" s="232" t="str">
        <f>'EXTENSIÓN Y GESTIÓN SOCIAL'!B13</f>
        <v>Diseñar e implementar un programa que permita demostrar el compromiso de la institución con el entorno por medio de sus labores formativas, académicas, docentes, científicas, culturales y de extensión.</v>
      </c>
      <c r="B51" s="45" t="str">
        <f>'EXTENSIÓN Y GESTIÓN SOCIAL'!D13</f>
        <v>ALTA
(81%)</v>
      </c>
      <c r="C51" s="98">
        <f>'EXTENSIÓN Y GESTIÓN SOCIAL'!AA13</f>
        <v>34491472.404479995</v>
      </c>
      <c r="D51" s="294"/>
      <c r="E51" s="306"/>
      <c r="F51" s="164"/>
      <c r="G51" s="200"/>
      <c r="H51" s="200">
        <f>C51</f>
        <v>34491472.404479995</v>
      </c>
      <c r="I51" s="200"/>
      <c r="J51" s="200"/>
      <c r="K51" s="200"/>
      <c r="L51" s="200"/>
      <c r="M51" s="200"/>
      <c r="N51" s="200"/>
      <c r="O51" s="98"/>
      <c r="P51" s="98"/>
      <c r="Q51" s="98"/>
      <c r="R51" s="98">
        <f>SUM(F51:Q51)</f>
        <v>34491472.404479995</v>
      </c>
      <c r="S51" s="298"/>
      <c r="T51" s="277"/>
    </row>
    <row r="52" spans="1:20">
      <c r="A52" s="273" t="s">
        <v>55</v>
      </c>
      <c r="B52" s="274"/>
      <c r="C52" s="274"/>
      <c r="D52" s="275"/>
      <c r="E52" s="306"/>
      <c r="F52" s="295"/>
      <c r="G52" s="296"/>
      <c r="H52" s="296"/>
      <c r="I52" s="296"/>
      <c r="J52" s="296"/>
      <c r="K52" s="296"/>
      <c r="L52" s="296"/>
      <c r="M52" s="296"/>
      <c r="N52" s="296"/>
      <c r="O52" s="297"/>
      <c r="P52" s="297"/>
      <c r="Q52" s="297"/>
      <c r="R52" s="297"/>
      <c r="S52" s="297"/>
      <c r="T52" s="277"/>
    </row>
    <row r="53" spans="1:20" ht="35.25" customHeight="1">
      <c r="A53" s="232" t="str">
        <f>'EXTENSIÓN Y GESTIÓN SOCIAL'!B15</f>
        <v>Organizar encuentros y ruedas de negocios para la comunidad Uteísta donde participen los diferentes sectores empresariales de la región.</v>
      </c>
      <c r="B53" s="45" t="str">
        <f>'EXTENSIÓN Y GESTIÓN SOCIAL'!D15</f>
        <v>ALTA
(95%)</v>
      </c>
      <c r="C53" s="98">
        <f>'EXTENSIÓN Y GESTIÓN SOCIAL'!AA15</f>
        <v>157965889.61791998</v>
      </c>
      <c r="D53" s="292">
        <f>SUM(C53:C54)</f>
        <v>552880613.66271996</v>
      </c>
      <c r="E53" s="306"/>
      <c r="F53" s="164"/>
      <c r="G53" s="200"/>
      <c r="H53" s="200">
        <f>C53</f>
        <v>157965889.61791998</v>
      </c>
      <c r="I53" s="200"/>
      <c r="J53" s="200"/>
      <c r="K53" s="200"/>
      <c r="L53" s="200"/>
      <c r="M53" s="200"/>
      <c r="N53" s="200"/>
      <c r="O53" s="98"/>
      <c r="P53" s="98"/>
      <c r="Q53" s="98"/>
      <c r="R53" s="98">
        <f>SUM(F53:Q53)</f>
        <v>157965889.61791998</v>
      </c>
      <c r="S53" s="298">
        <f>SUM(R53:R54)</f>
        <v>552880613.66271996</v>
      </c>
      <c r="T53" s="277"/>
    </row>
    <row r="54" spans="1:20" ht="35.25" customHeight="1">
      <c r="A54" s="232" t="str">
        <f>'EXTENSIÓN Y GESTIÓN SOCIAL'!B16</f>
        <v>Crear espacios de intercambio académico y científico con instituciones de educación superior y entes gubernamentales para dar solución a problemáticas de la región.</v>
      </c>
      <c r="B54" s="45" t="str">
        <f>'EXTENSIÓN Y GESTIÓN SOCIAL'!D16</f>
        <v>MEDIA
(71%)</v>
      </c>
      <c r="C54" s="98">
        <f>'EXTENSIÓN Y GESTIÓN SOCIAL'!AA16</f>
        <v>394914724.04480004</v>
      </c>
      <c r="D54" s="294"/>
      <c r="E54" s="306"/>
      <c r="F54" s="164"/>
      <c r="G54" s="200"/>
      <c r="H54" s="200">
        <f>C54</f>
        <v>394914724.04480004</v>
      </c>
      <c r="I54" s="200"/>
      <c r="J54" s="200"/>
      <c r="K54" s="200"/>
      <c r="L54" s="200"/>
      <c r="M54" s="200"/>
      <c r="N54" s="200"/>
      <c r="O54" s="98"/>
      <c r="P54" s="98"/>
      <c r="Q54" s="98"/>
      <c r="R54" s="98">
        <f>SUM(F54:Q54)</f>
        <v>394914724.04480004</v>
      </c>
      <c r="S54" s="298"/>
      <c r="T54" s="277"/>
    </row>
    <row r="55" spans="1:20">
      <c r="A55" s="273" t="s">
        <v>56</v>
      </c>
      <c r="B55" s="274"/>
      <c r="C55" s="274"/>
      <c r="D55" s="275"/>
      <c r="E55" s="306"/>
      <c r="F55" s="295"/>
      <c r="G55" s="296"/>
      <c r="H55" s="296"/>
      <c r="I55" s="296"/>
      <c r="J55" s="296"/>
      <c r="K55" s="296"/>
      <c r="L55" s="296"/>
      <c r="M55" s="296"/>
      <c r="N55" s="296"/>
      <c r="O55" s="297"/>
      <c r="P55" s="297"/>
      <c r="Q55" s="297"/>
      <c r="R55" s="297"/>
      <c r="S55" s="297"/>
      <c r="T55" s="277"/>
    </row>
    <row r="56" spans="1:20" ht="34.5" customHeight="1">
      <c r="A56" s="232" t="str">
        <f>'EXTENSIÓN Y GESTIÓN SOCIAL'!B17</f>
        <v>Implementar planes y programas para  el seguimiento, participación y actualización de los graduados UTS.</v>
      </c>
      <c r="B56" s="45" t="str">
        <f>'EXTENSIÓN Y GESTIÓN SOCIAL'!D17</f>
        <v>ALTA
(85%)</v>
      </c>
      <c r="C56" s="98">
        <f>'EXTENSIÓN Y GESTIÓN SOCIAL'!AA17</f>
        <v>39491472.404479995</v>
      </c>
      <c r="D56" s="292">
        <f>SUM(C56:C60)</f>
        <v>171923564.453888</v>
      </c>
      <c r="E56" s="306"/>
      <c r="F56" s="164"/>
      <c r="G56" s="200"/>
      <c r="H56" s="200">
        <f>C56</f>
        <v>39491472.404479995</v>
      </c>
      <c r="I56" s="200"/>
      <c r="J56" s="200"/>
      <c r="K56" s="200"/>
      <c r="L56" s="200"/>
      <c r="M56" s="200"/>
      <c r="N56" s="200"/>
      <c r="O56" s="98"/>
      <c r="P56" s="98"/>
      <c r="Q56" s="98"/>
      <c r="R56" s="98">
        <f>SUM(F56:Q56)</f>
        <v>39491472.404479995</v>
      </c>
      <c r="S56" s="298">
        <f>SUM(R56:R60)</f>
        <v>171923564.453888</v>
      </c>
      <c r="T56" s="277"/>
    </row>
    <row r="57" spans="1:20" ht="34.5" customHeight="1">
      <c r="A57" s="232" t="str">
        <f>'EXTENSIÓN Y GESTIÓN SOCIAL'!B18</f>
        <v>Desarrollar un sistema de información que permita generar datos actualizados de los graduados de la institución para facilitar su seguimiento y contacto​.</v>
      </c>
      <c r="B57" s="45" t="str">
        <f>'EXTENSIÓN Y GESTIÓN SOCIAL'!D18</f>
        <v>ALTA
(95%)</v>
      </c>
      <c r="C57" s="98">
        <f>'EXTENSIÓN Y GESTIÓN SOCIAL'!AA18</f>
        <v>60000000</v>
      </c>
      <c r="D57" s="293"/>
      <c r="E57" s="306"/>
      <c r="F57" s="164"/>
      <c r="G57" s="200"/>
      <c r="H57" s="200"/>
      <c r="I57" s="200"/>
      <c r="J57" s="200"/>
      <c r="K57" s="200">
        <f>C57</f>
        <v>60000000</v>
      </c>
      <c r="L57" s="200"/>
      <c r="M57" s="200"/>
      <c r="N57" s="200"/>
      <c r="O57" s="98"/>
      <c r="P57" s="98"/>
      <c r="Q57" s="98"/>
      <c r="R57" s="98">
        <f>SUM(F57:Q57)</f>
        <v>60000000</v>
      </c>
      <c r="S57" s="298"/>
      <c r="T57" s="277"/>
    </row>
    <row r="58" spans="1:20" ht="34.5" customHeight="1">
      <c r="A58" s="232" t="str">
        <f>'EXTENSIÓN Y GESTIÓN SOCIAL'!B20</f>
        <v>Desarrollar estudios para determinar el impacto de los graduados de la institución para facilitar el seguimiento y contacto</v>
      </c>
      <c r="B58" s="45" t="str">
        <f>'EXTENSIÓN Y GESTIÓN SOCIAL'!D20</f>
        <v>ALTA
(85%)</v>
      </c>
      <c r="C58" s="98">
        <f>'EXTENSIÓN Y GESTIÓN SOCIAL'!AA20</f>
        <v>0</v>
      </c>
      <c r="D58" s="293"/>
      <c r="E58" s="306"/>
      <c r="F58" s="164"/>
      <c r="G58" s="200"/>
      <c r="H58" s="200"/>
      <c r="I58" s="200"/>
      <c r="J58" s="200"/>
      <c r="K58" s="200"/>
      <c r="L58" s="200"/>
      <c r="M58" s="200"/>
      <c r="N58" s="200"/>
      <c r="O58" s="98"/>
      <c r="P58" s="98"/>
      <c r="Q58" s="98">
        <f>C58</f>
        <v>0</v>
      </c>
      <c r="R58" s="98">
        <f>SUM(F58:Q58)</f>
        <v>0</v>
      </c>
      <c r="S58" s="298"/>
      <c r="T58" s="277"/>
    </row>
    <row r="59" spans="1:20" ht="34.5" customHeight="1">
      <c r="A59" s="232" t="str">
        <f>'EXTENSIÓN Y GESTIÓN SOCIAL'!B21</f>
        <v xml:space="preserve">Creación del micro sitio web dentro del portal UTS, donde se visualice la oferta institucional en materia de empleabilidad, educación continua y otros aspectos relevantes. </v>
      </c>
      <c r="B59" s="45" t="str">
        <f>'EXTENSIÓN Y GESTIÓN SOCIAL'!D21</f>
        <v>ALTA
(81%)</v>
      </c>
      <c r="C59" s="98">
        <f>'EXTENSIÓN Y GESTIÓN SOCIAL'!AA21</f>
        <v>72432092.049408004</v>
      </c>
      <c r="D59" s="293"/>
      <c r="E59" s="306"/>
      <c r="F59" s="164"/>
      <c r="G59" s="200"/>
      <c r="H59" s="200"/>
      <c r="I59" s="200"/>
      <c r="J59" s="200"/>
      <c r="K59" s="200">
        <f>C59</f>
        <v>72432092.049408004</v>
      </c>
      <c r="L59" s="200"/>
      <c r="M59" s="200"/>
      <c r="N59" s="200"/>
      <c r="O59" s="98"/>
      <c r="P59" s="98"/>
      <c r="Q59" s="98"/>
      <c r="R59" s="98">
        <f>SUM(F59:Q59)</f>
        <v>72432092.049408004</v>
      </c>
      <c r="S59" s="298"/>
      <c r="T59" s="277"/>
    </row>
    <row r="60" spans="1:20" ht="34.5" customHeight="1">
      <c r="A60" s="232" t="str">
        <f>'EXTENSIÓN Y GESTIÓN SOCIAL'!B23</f>
        <v>Generar boletines digitales para compartir información de interés general a la población de graduados a través de los medios de difusión y comunicación.</v>
      </c>
      <c r="B60" s="45" t="str">
        <f>'EXTENSIÓN Y GESTIÓN SOCIAL'!D23</f>
        <v>MEDIA
(76%)</v>
      </c>
      <c r="C60" s="98">
        <f>'EXTENSIÓN Y GESTIÓN SOCIAL'!AA23</f>
        <v>0</v>
      </c>
      <c r="D60" s="294"/>
      <c r="E60" s="306"/>
      <c r="F60" s="164"/>
      <c r="G60" s="200"/>
      <c r="H60" s="200"/>
      <c r="I60" s="200"/>
      <c r="J60" s="200"/>
      <c r="K60" s="200"/>
      <c r="L60" s="200"/>
      <c r="M60" s="200"/>
      <c r="N60" s="200"/>
      <c r="O60" s="98"/>
      <c r="P60" s="98"/>
      <c r="Q60" s="98">
        <f>C60</f>
        <v>0</v>
      </c>
      <c r="R60" s="98">
        <f>SUM(F60:Q60)</f>
        <v>0</v>
      </c>
      <c r="S60" s="298"/>
      <c r="T60" s="277"/>
    </row>
    <row r="61" spans="1:20">
      <c r="A61" s="273" t="s">
        <v>57</v>
      </c>
      <c r="B61" s="274"/>
      <c r="C61" s="274"/>
      <c r="D61" s="275"/>
      <c r="E61" s="306"/>
      <c r="F61" s="295"/>
      <c r="G61" s="296"/>
      <c r="H61" s="296"/>
      <c r="I61" s="296"/>
      <c r="J61" s="296"/>
      <c r="K61" s="296"/>
      <c r="L61" s="296"/>
      <c r="M61" s="296"/>
      <c r="N61" s="296"/>
      <c r="O61" s="297"/>
      <c r="P61" s="297"/>
      <c r="Q61" s="297"/>
      <c r="R61" s="297"/>
      <c r="S61" s="297"/>
      <c r="T61" s="277"/>
    </row>
    <row r="62" spans="1:20" ht="35.25" customHeight="1">
      <c r="A62" s="232" t="str">
        <f>'EXTENSIÓN Y GESTIÓN SOCIAL'!B24</f>
        <v>Ampliar la oferta institucional de educación continua (cursos, talleres, seminarios, diplomados) que responda a las necesidades del mundo laboral y permita la actualización de conocimientos de la comunidad uteísta.</v>
      </c>
      <c r="B62" s="45" t="str">
        <f>'EXTENSIÓN Y GESTIÓN SOCIAL'!D24</f>
        <v>ALTA
(90%)</v>
      </c>
      <c r="C62" s="98">
        <f>'EXTENSIÓN Y GESTIÓN SOCIAL'!AA24</f>
        <v>0</v>
      </c>
      <c r="D62" s="98">
        <f>C62</f>
        <v>0</v>
      </c>
      <c r="E62" s="306"/>
      <c r="F62" s="164"/>
      <c r="G62" s="200"/>
      <c r="H62" s="200"/>
      <c r="I62" s="200"/>
      <c r="J62" s="200"/>
      <c r="K62" s="200"/>
      <c r="L62" s="200"/>
      <c r="M62" s="200"/>
      <c r="N62" s="200"/>
      <c r="O62" s="98"/>
      <c r="P62" s="98"/>
      <c r="Q62" s="98">
        <f>C62</f>
        <v>0</v>
      </c>
      <c r="R62" s="98">
        <f>SUM(F62:Q62)</f>
        <v>0</v>
      </c>
      <c r="S62" s="98">
        <f>R62</f>
        <v>0</v>
      </c>
      <c r="T62" s="277"/>
    </row>
    <row r="63" spans="1:20">
      <c r="A63" s="273" t="s">
        <v>58</v>
      </c>
      <c r="B63" s="274"/>
      <c r="C63" s="274"/>
      <c r="D63" s="275"/>
      <c r="E63" s="306"/>
      <c r="F63" s="295"/>
      <c r="G63" s="296"/>
      <c r="H63" s="296"/>
      <c r="I63" s="296"/>
      <c r="J63" s="296"/>
      <c r="K63" s="296"/>
      <c r="L63" s="296"/>
      <c r="M63" s="296"/>
      <c r="N63" s="296"/>
      <c r="O63" s="297"/>
      <c r="P63" s="297"/>
      <c r="Q63" s="297"/>
      <c r="R63" s="297"/>
      <c r="S63" s="297"/>
      <c r="T63" s="277"/>
    </row>
    <row r="64" spans="1:20" ht="38.25" customHeight="1">
      <c r="A64" s="232" t="str">
        <f>'EXTENSIÓN Y GESTIÓN SOCIAL'!B25</f>
        <v>Crear un portafolio de servicios de extensión para el sector productivo y de la educación.</v>
      </c>
      <c r="B64" s="45" t="str">
        <f>'EXTENSIÓN Y GESTIÓN SOCIAL'!D25</f>
        <v>ALTA
(95%)</v>
      </c>
      <c r="C64" s="98">
        <f>'EXTENSIÓN Y GESTIÓN SOCIAL'!AA25</f>
        <v>0</v>
      </c>
      <c r="D64" s="292">
        <f>SUM(C64:C65)</f>
        <v>0</v>
      </c>
      <c r="E64" s="306"/>
      <c r="F64" s="164"/>
      <c r="G64" s="200"/>
      <c r="H64" s="200"/>
      <c r="I64" s="200"/>
      <c r="J64" s="200"/>
      <c r="K64" s="200"/>
      <c r="L64" s="200"/>
      <c r="M64" s="200"/>
      <c r="N64" s="200"/>
      <c r="O64" s="98"/>
      <c r="P64" s="98"/>
      <c r="Q64" s="98">
        <f>C64</f>
        <v>0</v>
      </c>
      <c r="R64" s="98">
        <f>SUM(F64:Q64)</f>
        <v>0</v>
      </c>
      <c r="S64" s="298">
        <f>SUM(R64:R65)</f>
        <v>0</v>
      </c>
      <c r="T64" s="277"/>
    </row>
    <row r="65" spans="1:20" ht="38.25" customHeight="1">
      <c r="A65" s="232" t="str">
        <f>'EXTENSIÓN Y GESTIÓN SOCIAL'!B26</f>
        <v>Establecer y mantener actualizado un portafolio de servicios para el desarrollo de proyectos y prácticas de acuerdo a las necesidades de la región.</v>
      </c>
      <c r="B65" s="45" t="str">
        <f>'EXTENSIÓN Y GESTIÓN SOCIAL'!D26</f>
        <v>ALTA
(95%)</v>
      </c>
      <c r="C65" s="98">
        <f>'EXTENSIÓN Y GESTIÓN SOCIAL'!AA26</f>
        <v>0</v>
      </c>
      <c r="D65" s="294"/>
      <c r="E65" s="307"/>
      <c r="F65" s="164"/>
      <c r="G65" s="200"/>
      <c r="H65" s="200"/>
      <c r="I65" s="200"/>
      <c r="J65" s="200"/>
      <c r="K65" s="200"/>
      <c r="L65" s="200"/>
      <c r="M65" s="200"/>
      <c r="N65" s="200"/>
      <c r="O65" s="98"/>
      <c r="P65" s="98"/>
      <c r="Q65" s="98">
        <f>C65</f>
        <v>0</v>
      </c>
      <c r="R65" s="98">
        <f>SUM(F65:Q65)</f>
        <v>0</v>
      </c>
      <c r="S65" s="298"/>
      <c r="T65" s="278"/>
    </row>
    <row r="66" spans="1:20" ht="21" customHeight="1">
      <c r="A66" s="310" t="s">
        <v>21</v>
      </c>
      <c r="B66" s="310"/>
      <c r="C66" s="310"/>
      <c r="D66" s="310"/>
      <c r="E66" s="302"/>
      <c r="F66" s="203">
        <f>F68+F70+F71+F72+F74</f>
        <v>0</v>
      </c>
      <c r="G66" s="204">
        <f t="shared" ref="G66:Q66" si="3">G68+G70+G71+G72+G74</f>
        <v>0</v>
      </c>
      <c r="H66" s="204">
        <f t="shared" si="3"/>
        <v>0</v>
      </c>
      <c r="I66" s="204">
        <f t="shared" si="3"/>
        <v>0</v>
      </c>
      <c r="J66" s="204">
        <f t="shared" si="3"/>
        <v>0</v>
      </c>
      <c r="K66" s="204">
        <f t="shared" si="3"/>
        <v>0</v>
      </c>
      <c r="L66" s="204">
        <f t="shared" si="3"/>
        <v>0</v>
      </c>
      <c r="M66" s="204">
        <f t="shared" si="3"/>
        <v>0</v>
      </c>
      <c r="N66" s="204">
        <f t="shared" si="3"/>
        <v>0</v>
      </c>
      <c r="O66" s="204">
        <f t="shared" si="3"/>
        <v>0</v>
      </c>
      <c r="P66" s="204">
        <f t="shared" si="3"/>
        <v>8588123928.9856005</v>
      </c>
      <c r="Q66" s="204">
        <f t="shared" si="3"/>
        <v>0</v>
      </c>
      <c r="R66" s="175"/>
      <c r="S66" s="175"/>
      <c r="T66" s="177"/>
    </row>
    <row r="67" spans="1:20">
      <c r="A67" s="273" t="s">
        <v>59</v>
      </c>
      <c r="B67" s="274"/>
      <c r="C67" s="274"/>
      <c r="D67" s="275"/>
      <c r="E67" s="305">
        <f>D68+D70+D74</f>
        <v>8588123928.9856005</v>
      </c>
      <c r="F67" s="295"/>
      <c r="G67" s="296"/>
      <c r="H67" s="296"/>
      <c r="I67" s="296"/>
      <c r="J67" s="296"/>
      <c r="K67" s="296"/>
      <c r="L67" s="296"/>
      <c r="M67" s="296"/>
      <c r="N67" s="296"/>
      <c r="O67" s="297"/>
      <c r="P67" s="297"/>
      <c r="Q67" s="297"/>
      <c r="R67" s="297"/>
      <c r="S67" s="297"/>
      <c r="T67" s="276">
        <f>S68+S70+S74</f>
        <v>8588123928.9856005</v>
      </c>
    </row>
    <row r="68" spans="1:20" ht="45" customHeight="1">
      <c r="A68" s="232" t="str">
        <f>'ASEGURAMIENTO CALIDAD EDUCACIÓN'!B5</f>
        <v>Divulgación de los tópicos propios de cada área para fomentar la cultura de la autoevaluación, autocontrol y autorregulación para fortalecer el seguimiento y el desarrollo de los planes de mejoramiento continuo de la institución</v>
      </c>
      <c r="B68" s="45" t="str">
        <f>'ASEGURAMIENTO CALIDAD EDUCACIÓN'!D5</f>
        <v>ALTA
(90%)</v>
      </c>
      <c r="C68" s="98">
        <f>'ASEGURAMIENTO CALIDAD EDUCACIÓN'!AA5</f>
        <v>0</v>
      </c>
      <c r="D68" s="98">
        <f>C68</f>
        <v>0</v>
      </c>
      <c r="E68" s="306"/>
      <c r="F68" s="164"/>
      <c r="G68" s="200"/>
      <c r="H68" s="200"/>
      <c r="I68" s="200"/>
      <c r="J68" s="200"/>
      <c r="K68" s="200"/>
      <c r="L68" s="200"/>
      <c r="M68" s="200"/>
      <c r="N68" s="200"/>
      <c r="O68" s="98"/>
      <c r="P68" s="98"/>
      <c r="Q68" s="98">
        <f>C68</f>
        <v>0</v>
      </c>
      <c r="R68" s="98">
        <f>SUM(F68:Q68)</f>
        <v>0</v>
      </c>
      <c r="S68" s="98">
        <f>R68</f>
        <v>0</v>
      </c>
      <c r="T68" s="277"/>
    </row>
    <row r="69" spans="1:20">
      <c r="A69" s="273" t="s">
        <v>60</v>
      </c>
      <c r="B69" s="274"/>
      <c r="C69" s="274"/>
      <c r="D69" s="275"/>
      <c r="E69" s="306"/>
      <c r="F69" s="295"/>
      <c r="G69" s="296"/>
      <c r="H69" s="296"/>
      <c r="I69" s="296"/>
      <c r="J69" s="296"/>
      <c r="K69" s="296"/>
      <c r="L69" s="296"/>
      <c r="M69" s="296"/>
      <c r="N69" s="296"/>
      <c r="O69" s="297"/>
      <c r="P69" s="297"/>
      <c r="Q69" s="297"/>
      <c r="R69" s="297"/>
      <c r="S69" s="297"/>
      <c r="T69" s="277"/>
    </row>
    <row r="70" spans="1:20" ht="75" customHeight="1">
      <c r="A70" s="232" t="str">
        <f>'ASEGURAMIENTO CALIDAD EDUCACIÓN'!B7</f>
        <v>Implementar el Sistema Interno de Aseguramiento de la Calidad en correspondencia con la normatividad vigente para programas académicos e instituciones de educación superior, de manera que, se unifiquen acciones semejantes, se precisen insumos, actividades y productos que cada proceso aporta a la institución y se evidencie el funcionamiento de las diferentes instancias que se interrelacionan para el aseguramiento y el mejoramiento permanente de la calidad de la institución.</v>
      </c>
      <c r="B70" s="45" t="str">
        <f>'ASEGURAMIENTO CALIDAD EDUCACIÓN'!D7</f>
        <v>ALTA
(91%)</v>
      </c>
      <c r="C70" s="98">
        <f>'ASEGURAMIENTO CALIDAD EDUCACIÓN'!AA7</f>
        <v>1479658896.1792002</v>
      </c>
      <c r="D70" s="292">
        <f>SUM(C70:C72)</f>
        <v>8588123928.9856005</v>
      </c>
      <c r="E70" s="306"/>
      <c r="F70" s="164"/>
      <c r="G70" s="200"/>
      <c r="H70" s="200"/>
      <c r="I70" s="200"/>
      <c r="J70" s="200"/>
      <c r="K70" s="200"/>
      <c r="L70" s="200"/>
      <c r="M70" s="200"/>
      <c r="N70" s="200"/>
      <c r="O70" s="98"/>
      <c r="P70" s="98">
        <f>C70</f>
        <v>1479658896.1792002</v>
      </c>
      <c r="Q70" s="98"/>
      <c r="R70" s="98">
        <f>SUM(F70:Q70)</f>
        <v>1479658896.1792002</v>
      </c>
      <c r="S70" s="298">
        <f>SUM(R70:R72)</f>
        <v>8588123928.9856005</v>
      </c>
      <c r="T70" s="277"/>
    </row>
    <row r="71" spans="1:20" ht="36.75" customHeight="1">
      <c r="A71" s="232" t="str">
        <f>'ASEGURAMIENTO CALIDAD EDUCACIÓN'!B12</f>
        <v>Actualizar el modelo institucional de autoevaluación y autorregulación de las UTS en correspondencia con la normatividad vigente para educación superior.</v>
      </c>
      <c r="B71" s="45" t="str">
        <f>'ASEGURAMIENTO CALIDAD EDUCACIÓN'!D12</f>
        <v>ALTA
(81%)</v>
      </c>
      <c r="C71" s="98">
        <f>'ASEGURAMIENTO CALIDAD EDUCACIÓN'!AA12</f>
        <v>0</v>
      </c>
      <c r="D71" s="293"/>
      <c r="E71" s="306"/>
      <c r="F71" s="164"/>
      <c r="G71" s="200"/>
      <c r="H71" s="200"/>
      <c r="I71" s="200"/>
      <c r="J71" s="200"/>
      <c r="K71" s="200"/>
      <c r="L71" s="200"/>
      <c r="M71" s="200"/>
      <c r="N71" s="200"/>
      <c r="O71" s="98"/>
      <c r="P71" s="98"/>
      <c r="Q71" s="98">
        <f>C71</f>
        <v>0</v>
      </c>
      <c r="R71" s="98">
        <f>SUM(F71:Q71)</f>
        <v>0</v>
      </c>
      <c r="S71" s="298"/>
      <c r="T71" s="277"/>
    </row>
    <row r="72" spans="1:20" ht="48.75" customHeight="1">
      <c r="A72" s="232" t="str">
        <f>'ASEGURAMIENTO CALIDAD EDUCACIÓN'!B13</f>
        <v xml:space="preserve">Desarrollar procesos de seguimiento a los planes de mejoramiento y de mantenimiento de las fortalezas que se generen de los procesos de autoevaluación de programas académicos, autoevaluación con fines de acreditación de programas y autoevaluación institucional.  </v>
      </c>
      <c r="B72" s="45" t="str">
        <f>'ASEGURAMIENTO CALIDAD EDUCACIÓN'!D13</f>
        <v>ALTA
(85%)</v>
      </c>
      <c r="C72" s="98">
        <f>'ASEGURAMIENTO CALIDAD EDUCACIÓN'!AA13</f>
        <v>7108465032.8064003</v>
      </c>
      <c r="D72" s="294"/>
      <c r="E72" s="306"/>
      <c r="F72" s="164"/>
      <c r="G72" s="200"/>
      <c r="H72" s="200"/>
      <c r="I72" s="200"/>
      <c r="J72" s="200"/>
      <c r="K72" s="200"/>
      <c r="L72" s="200"/>
      <c r="M72" s="200"/>
      <c r="N72" s="200"/>
      <c r="O72" s="98"/>
      <c r="P72" s="98">
        <f>C72</f>
        <v>7108465032.8064003</v>
      </c>
      <c r="Q72" s="98"/>
      <c r="R72" s="98">
        <f>SUM(F72:Q72)</f>
        <v>7108465032.8064003</v>
      </c>
      <c r="S72" s="298"/>
      <c r="T72" s="277"/>
    </row>
    <row r="73" spans="1:20">
      <c r="A73" s="273" t="s">
        <v>61</v>
      </c>
      <c r="B73" s="274"/>
      <c r="C73" s="274"/>
      <c r="D73" s="275"/>
      <c r="E73" s="306"/>
      <c r="F73" s="295"/>
      <c r="G73" s="296"/>
      <c r="H73" s="296"/>
      <c r="I73" s="296"/>
      <c r="J73" s="296"/>
      <c r="K73" s="296"/>
      <c r="L73" s="296"/>
      <c r="M73" s="296"/>
      <c r="N73" s="296"/>
      <c r="O73" s="297"/>
      <c r="P73" s="297"/>
      <c r="Q73" s="297"/>
      <c r="R73" s="297"/>
      <c r="S73" s="297"/>
      <c r="T73" s="277"/>
    </row>
    <row r="74" spans="1:20" ht="60.75" customHeight="1">
      <c r="A74" s="232" t="str">
        <f>'ASEGURAMIENTO CALIDAD EDUCACIÓN'!B14</f>
        <v>Fortalecer los indicadores de impacto de los programas académicos mediante acciones derivadas de los procesos de autoevaluación que permitan optimizar los recursos, incrementar su calidad y consolidar la imagen institucional con una oferta académica pertinente y competitiva para la toma de decisiones en procesos de acreditación.</v>
      </c>
      <c r="B74" s="45" t="str">
        <f>'ASEGURAMIENTO CALIDAD EDUCACIÓN'!D14</f>
        <v>ALTA
(100%)</v>
      </c>
      <c r="C74" s="98">
        <f>'ASEGURAMIENTO CALIDAD EDUCACIÓN'!AA14</f>
        <v>0</v>
      </c>
      <c r="D74" s="98">
        <f>C74</f>
        <v>0</v>
      </c>
      <c r="E74" s="307"/>
      <c r="F74" s="164"/>
      <c r="G74" s="200"/>
      <c r="H74" s="200"/>
      <c r="I74" s="200"/>
      <c r="J74" s="200"/>
      <c r="K74" s="200"/>
      <c r="L74" s="200"/>
      <c r="M74" s="200"/>
      <c r="N74" s="200"/>
      <c r="O74" s="98"/>
      <c r="P74" s="98"/>
      <c r="Q74" s="98">
        <f>C74</f>
        <v>0</v>
      </c>
      <c r="R74" s="98">
        <f>SUM(F74:Q74)</f>
        <v>0</v>
      </c>
      <c r="S74" s="98">
        <f>R74</f>
        <v>0</v>
      </c>
      <c r="T74" s="278"/>
    </row>
    <row r="75" spans="1:20" ht="22.5" customHeight="1">
      <c r="A75" s="308" t="s">
        <v>22</v>
      </c>
      <c r="B75" s="308"/>
      <c r="C75" s="308"/>
      <c r="D75" s="308"/>
      <c r="E75" s="309"/>
      <c r="F75" s="289"/>
      <c r="G75" s="290"/>
      <c r="H75" s="290"/>
      <c r="I75" s="290"/>
      <c r="J75" s="290"/>
      <c r="K75" s="290"/>
      <c r="L75" s="290"/>
      <c r="M75" s="290"/>
      <c r="N75" s="290"/>
      <c r="O75" s="290"/>
      <c r="P75" s="290"/>
      <c r="Q75" s="290"/>
      <c r="R75" s="290"/>
      <c r="S75" s="290"/>
      <c r="T75" s="291"/>
    </row>
    <row r="76" spans="1:20" ht="21" customHeight="1">
      <c r="A76" s="310" t="s">
        <v>23</v>
      </c>
      <c r="B76" s="310"/>
      <c r="C76" s="310"/>
      <c r="D76" s="310"/>
      <c r="E76" s="302"/>
      <c r="F76" s="203">
        <f>F78+F79+F81+F82+F84+F85+F86+F87+F89+F90+F91+F92+F94+F95+F96</f>
        <v>551157055.48800004</v>
      </c>
      <c r="G76" s="204">
        <f t="shared" ref="G76:Q76" si="4">G78+G79+G81+G82+G84+G85+G86+G87+G89+G90+G91+G92+G94+G95+G96</f>
        <v>0</v>
      </c>
      <c r="H76" s="204">
        <f t="shared" si="4"/>
        <v>2069788405.5756798</v>
      </c>
      <c r="I76" s="204">
        <f t="shared" si="4"/>
        <v>0</v>
      </c>
      <c r="J76" s="204">
        <f t="shared" si="4"/>
        <v>0</v>
      </c>
      <c r="K76" s="204">
        <f t="shared" si="4"/>
        <v>0</v>
      </c>
      <c r="L76" s="204">
        <f t="shared" si="4"/>
        <v>6286727057.1212807</v>
      </c>
      <c r="M76" s="204">
        <f t="shared" si="4"/>
        <v>0</v>
      </c>
      <c r="N76" s="204">
        <f t="shared" si="4"/>
        <v>0</v>
      </c>
      <c r="O76" s="204">
        <f t="shared" si="4"/>
        <v>551157055.48800004</v>
      </c>
      <c r="P76" s="204">
        <f t="shared" si="4"/>
        <v>0</v>
      </c>
      <c r="Q76" s="204">
        <f t="shared" si="4"/>
        <v>0</v>
      </c>
      <c r="R76" s="175"/>
      <c r="S76" s="175"/>
      <c r="T76" s="177"/>
    </row>
    <row r="77" spans="1:20">
      <c r="A77" s="273" t="s">
        <v>62</v>
      </c>
      <c r="B77" s="274"/>
      <c r="C77" s="274"/>
      <c r="D77" s="275"/>
      <c r="E77" s="305">
        <f>D78+D81+D84+D89+D94</f>
        <v>9458829573.6729603</v>
      </c>
      <c r="F77" s="295"/>
      <c r="G77" s="296"/>
      <c r="H77" s="296"/>
      <c r="I77" s="296"/>
      <c r="J77" s="296"/>
      <c r="K77" s="296"/>
      <c r="L77" s="296"/>
      <c r="M77" s="296"/>
      <c r="N77" s="296"/>
      <c r="O77" s="297"/>
      <c r="P77" s="297"/>
      <c r="Q77" s="297"/>
      <c r="R77" s="297"/>
      <c r="S77" s="297"/>
      <c r="T77" s="276">
        <f>S78+S81+S84+S89+S94</f>
        <v>9458829573.6729603</v>
      </c>
    </row>
    <row r="78" spans="1:20" ht="32.25" customHeight="1">
      <c r="A78" s="232" t="str">
        <f>'INNOVACION Y PRODUCTIVIDAD '!B5</f>
        <v>UTSmart: hacia una transformación digital UTS</v>
      </c>
      <c r="B78" s="45" t="str">
        <f>'INNOVACION Y PRODUCTIVIDAD '!D5</f>
        <v>ALTA
(98%)</v>
      </c>
      <c r="C78" s="98">
        <f>'INNOVACION Y PRODUCTIVIDAD '!AA5</f>
        <v>908303865.30304003</v>
      </c>
      <c r="D78" s="292">
        <f>SUM(C78:C79)</f>
        <v>1382201534.1568</v>
      </c>
      <c r="E78" s="306"/>
      <c r="F78" s="164"/>
      <c r="G78" s="200"/>
      <c r="H78" s="200">
        <f>C78</f>
        <v>908303865.30304003</v>
      </c>
      <c r="I78" s="200"/>
      <c r="J78" s="200"/>
      <c r="K78" s="200"/>
      <c r="L78" s="200"/>
      <c r="M78" s="200"/>
      <c r="N78" s="200"/>
      <c r="O78" s="98"/>
      <c r="P78" s="98"/>
      <c r="Q78" s="98"/>
      <c r="R78" s="98">
        <f>SUM(F78:Q78)</f>
        <v>908303865.30304003</v>
      </c>
      <c r="S78" s="298">
        <f>SUM(R78:R79)</f>
        <v>1382201534.1568</v>
      </c>
      <c r="T78" s="277"/>
    </row>
    <row r="79" spans="1:20" ht="32.25" customHeight="1">
      <c r="A79" s="232" t="str">
        <f>'INNOVACION Y PRODUCTIVIDAD '!B9</f>
        <v>Promover una cultura de creatividad, innovación y emprendimiento en la comunidad Uteísta.</v>
      </c>
      <c r="B79" s="45" t="str">
        <f>'INNOVACION Y PRODUCTIVIDAD '!D9</f>
        <v>MEDIA
(77%)</v>
      </c>
      <c r="C79" s="98">
        <f>'INNOVACION Y PRODUCTIVIDAD '!AA9</f>
        <v>473897668.85376</v>
      </c>
      <c r="D79" s="294"/>
      <c r="E79" s="306"/>
      <c r="F79" s="164"/>
      <c r="G79" s="200"/>
      <c r="H79" s="200">
        <f>C79</f>
        <v>473897668.85376</v>
      </c>
      <c r="I79" s="200"/>
      <c r="J79" s="200"/>
      <c r="K79" s="200"/>
      <c r="L79" s="200"/>
      <c r="M79" s="200"/>
      <c r="N79" s="200"/>
      <c r="O79" s="98"/>
      <c r="P79" s="98"/>
      <c r="Q79" s="98"/>
      <c r="R79" s="98">
        <f>SUM(F79:Q79)</f>
        <v>473897668.85376</v>
      </c>
      <c r="S79" s="298"/>
      <c r="T79" s="277"/>
    </row>
    <row r="80" spans="1:20">
      <c r="A80" s="273" t="s">
        <v>63</v>
      </c>
      <c r="B80" s="274"/>
      <c r="C80" s="274"/>
      <c r="D80" s="275"/>
      <c r="E80" s="306"/>
      <c r="F80" s="295"/>
      <c r="G80" s="296"/>
      <c r="H80" s="296"/>
      <c r="I80" s="296"/>
      <c r="J80" s="296"/>
      <c r="K80" s="296"/>
      <c r="L80" s="296"/>
      <c r="M80" s="296"/>
      <c r="N80" s="296"/>
      <c r="O80" s="297"/>
      <c r="P80" s="297"/>
      <c r="Q80" s="297"/>
      <c r="R80" s="297"/>
      <c r="S80" s="297"/>
      <c r="T80" s="277"/>
    </row>
    <row r="81" spans="1:20" ht="45" customHeight="1">
      <c r="A81" s="232" t="str">
        <f>'INNOVACION Y PRODUCTIVIDAD '!B10</f>
        <v xml:space="preserve">Ejecutar procesos de innovación educativa, dentro y fuera del aula, en uso de tecnologías (Educación a Distancia, B-Learning, E-Learning), investigación aplicada en los procesos de enseñanza y aprendizaje, mecanismos de evaluación y autoaprendizaje. </v>
      </c>
      <c r="B81" s="45" t="str">
        <f>'INNOVACION Y PRODUCTIVIDAD '!D10</f>
        <v>ALTA
(96%)</v>
      </c>
      <c r="C81" s="98">
        <f>'INNOVACION Y PRODUCTIVIDAD '!AA10</f>
        <v>0</v>
      </c>
      <c r="D81" s="292">
        <f>SUM(C81:C82)</f>
        <v>1102314110.9760001</v>
      </c>
      <c r="E81" s="306"/>
      <c r="F81" s="164"/>
      <c r="G81" s="200"/>
      <c r="H81" s="200"/>
      <c r="I81" s="200"/>
      <c r="J81" s="200"/>
      <c r="K81" s="200"/>
      <c r="L81" s="200"/>
      <c r="M81" s="200"/>
      <c r="N81" s="200"/>
      <c r="O81" s="98"/>
      <c r="P81" s="98"/>
      <c r="Q81" s="98">
        <f>C81</f>
        <v>0</v>
      </c>
      <c r="R81" s="98">
        <f>SUM(F81:Q81)</f>
        <v>0</v>
      </c>
      <c r="S81" s="298">
        <f>SUM(R81:R82)</f>
        <v>1102314110.9760001</v>
      </c>
      <c r="T81" s="277"/>
    </row>
    <row r="82" spans="1:20" ht="35.25" customHeight="1">
      <c r="A82" s="232" t="str">
        <f>'INNOVACION Y PRODUCTIVIDAD '!B11</f>
        <v xml:space="preserve">Promover el uso de herramientas digitales para la formación de personas en situación de discapacidad. </v>
      </c>
      <c r="B82" s="45" t="str">
        <f>'INNOVACION Y PRODUCTIVIDAD '!D11</f>
        <v>MEDIA
(72%)</v>
      </c>
      <c r="C82" s="98">
        <f>'INNOVACION Y PRODUCTIVIDAD '!AA11</f>
        <v>1102314110.9760001</v>
      </c>
      <c r="D82" s="294"/>
      <c r="E82" s="306"/>
      <c r="F82" s="164">
        <f>C82/2</f>
        <v>551157055.48800004</v>
      </c>
      <c r="G82" s="200"/>
      <c r="H82" s="200"/>
      <c r="I82" s="200"/>
      <c r="J82" s="200"/>
      <c r="K82" s="200"/>
      <c r="L82" s="200"/>
      <c r="M82" s="200"/>
      <c r="N82" s="200"/>
      <c r="O82" s="98">
        <f>C82/2</f>
        <v>551157055.48800004</v>
      </c>
      <c r="P82" s="98"/>
      <c r="Q82" s="98"/>
      <c r="R82" s="98">
        <f>SUM(F82:Q82)</f>
        <v>1102314110.9760001</v>
      </c>
      <c r="S82" s="298"/>
      <c r="T82" s="277"/>
    </row>
    <row r="83" spans="1:20">
      <c r="A83" s="273" t="s">
        <v>64</v>
      </c>
      <c r="B83" s="274"/>
      <c r="C83" s="274"/>
      <c r="D83" s="275"/>
      <c r="E83" s="306"/>
      <c r="F83" s="295"/>
      <c r="G83" s="296"/>
      <c r="H83" s="296"/>
      <c r="I83" s="296"/>
      <c r="J83" s="296"/>
      <c r="K83" s="296"/>
      <c r="L83" s="296"/>
      <c r="M83" s="296"/>
      <c r="N83" s="296"/>
      <c r="O83" s="297"/>
      <c r="P83" s="297"/>
      <c r="Q83" s="297"/>
      <c r="R83" s="297"/>
      <c r="S83" s="297"/>
      <c r="T83" s="277"/>
    </row>
    <row r="84" spans="1:20" ht="33.75" customHeight="1">
      <c r="A84" s="232" t="str">
        <f>'INNOVACION Y PRODUCTIVIDAD '!B12</f>
        <v>Desarrollar laboratorios de ideación, pruebas de concepto y de UX (Usabilidad y Accesibilidad).</v>
      </c>
      <c r="B84" s="45" t="str">
        <f>'INNOVACION Y PRODUCTIVIDAD '!D12</f>
        <v>ALTA
(86%)</v>
      </c>
      <c r="C84" s="98">
        <f>'INNOVACION Y PRODUCTIVIDAD '!AA12</f>
        <v>450638036.99199998</v>
      </c>
      <c r="D84" s="292">
        <f>SUM(C84:C87)</f>
        <v>450638036.99199998</v>
      </c>
      <c r="E84" s="306"/>
      <c r="F84" s="164"/>
      <c r="G84" s="200"/>
      <c r="H84" s="200">
        <f>C84</f>
        <v>450638036.99199998</v>
      </c>
      <c r="I84" s="200"/>
      <c r="J84" s="200"/>
      <c r="K84" s="200"/>
      <c r="L84" s="200"/>
      <c r="M84" s="200"/>
      <c r="N84" s="200"/>
      <c r="O84" s="98"/>
      <c r="P84" s="98"/>
      <c r="Q84" s="98"/>
      <c r="R84" s="98">
        <f>SUM(F84:Q84)</f>
        <v>450638036.99199998</v>
      </c>
      <c r="S84" s="298">
        <f>SUM(R84:R87)</f>
        <v>450638036.99199998</v>
      </c>
      <c r="T84" s="277"/>
    </row>
    <row r="85" spans="1:20" ht="33.75" customHeight="1">
      <c r="A85" s="232" t="str">
        <f>'INNOVACION Y PRODUCTIVIDAD '!B13</f>
        <v>Desarrollar proyectos y estrategias de carácter científico, tecnológico y de innovación, que fortalezcan los sectores productivos y de educación en Colombia.</v>
      </c>
      <c r="B85" s="45" t="str">
        <f>'INNOVACION Y PRODUCTIVIDAD '!D13</f>
        <v>ALTA
(84%)</v>
      </c>
      <c r="C85" s="98">
        <f>'INNOVACION Y PRODUCTIVIDAD '!AA13</f>
        <v>0</v>
      </c>
      <c r="D85" s="293"/>
      <c r="E85" s="306"/>
      <c r="F85" s="164"/>
      <c r="G85" s="200"/>
      <c r="H85" s="200"/>
      <c r="I85" s="200"/>
      <c r="J85" s="200"/>
      <c r="K85" s="200"/>
      <c r="L85" s="200"/>
      <c r="M85" s="200"/>
      <c r="N85" s="200"/>
      <c r="O85" s="98"/>
      <c r="P85" s="98"/>
      <c r="Q85" s="98">
        <f>C85</f>
        <v>0</v>
      </c>
      <c r="R85" s="98">
        <f>SUM(F85:Q85)</f>
        <v>0</v>
      </c>
      <c r="S85" s="298"/>
      <c r="T85" s="277"/>
    </row>
    <row r="86" spans="1:20" ht="33.75" customHeight="1">
      <c r="A86" s="233" t="str">
        <f>'INNOVACION Y PRODUCTIVIDAD '!B14</f>
        <v xml:space="preserve">Generar innovaciones a nivel pedagógico, organizacional, social, creación artística y cultural en procesos y en productos. </v>
      </c>
      <c r="B86" s="71" t="str">
        <f>'INNOVACION Y PRODUCTIVIDAD '!D14</f>
        <v>ALTA
(84%)</v>
      </c>
      <c r="C86" s="98">
        <f>'INNOVACION Y PRODUCTIVIDAD '!AA14</f>
        <v>0</v>
      </c>
      <c r="D86" s="293"/>
      <c r="E86" s="306"/>
      <c r="F86" s="164"/>
      <c r="G86" s="200"/>
      <c r="H86" s="200"/>
      <c r="I86" s="200"/>
      <c r="J86" s="200"/>
      <c r="K86" s="200"/>
      <c r="L86" s="200"/>
      <c r="M86" s="200"/>
      <c r="N86" s="200"/>
      <c r="O86" s="98"/>
      <c r="P86" s="98"/>
      <c r="Q86" s="98">
        <f>C86</f>
        <v>0</v>
      </c>
      <c r="R86" s="98">
        <f>SUM(F86:Q86)</f>
        <v>0</v>
      </c>
      <c r="S86" s="298"/>
      <c r="T86" s="277"/>
    </row>
    <row r="87" spans="1:20" ht="33.75" customHeight="1">
      <c r="A87" s="232" t="str">
        <f>'INNOVACION Y PRODUCTIVIDAD '!B15</f>
        <v>Implementar programas de cultura de innovación, apropiación y transferencia de conocimiento y tecnología.</v>
      </c>
      <c r="B87" s="45" t="str">
        <f>'INNOVACION Y PRODUCTIVIDAD '!D15</f>
        <v>MEDIA
(76%)</v>
      </c>
      <c r="C87" s="98">
        <f>'INNOVACION Y PRODUCTIVIDAD '!AA15</f>
        <v>0</v>
      </c>
      <c r="D87" s="294"/>
      <c r="E87" s="306"/>
      <c r="F87" s="164"/>
      <c r="G87" s="200"/>
      <c r="H87" s="200"/>
      <c r="I87" s="200"/>
      <c r="J87" s="200"/>
      <c r="K87" s="200"/>
      <c r="L87" s="200"/>
      <c r="M87" s="200"/>
      <c r="N87" s="200"/>
      <c r="O87" s="98"/>
      <c r="P87" s="98"/>
      <c r="Q87" s="98">
        <f>C87</f>
        <v>0</v>
      </c>
      <c r="R87" s="98">
        <f>SUM(F87:Q87)</f>
        <v>0</v>
      </c>
      <c r="S87" s="298"/>
      <c r="T87" s="277"/>
    </row>
    <row r="88" spans="1:20">
      <c r="A88" s="273" t="s">
        <v>65</v>
      </c>
      <c r="B88" s="274"/>
      <c r="C88" s="274"/>
      <c r="D88" s="275"/>
      <c r="E88" s="306"/>
      <c r="F88" s="295"/>
      <c r="G88" s="296"/>
      <c r="H88" s="296"/>
      <c r="I88" s="296"/>
      <c r="J88" s="296"/>
      <c r="K88" s="296"/>
      <c r="L88" s="296"/>
      <c r="M88" s="296"/>
      <c r="N88" s="296"/>
      <c r="O88" s="297"/>
      <c r="P88" s="297"/>
      <c r="Q88" s="297"/>
      <c r="R88" s="297"/>
      <c r="S88" s="297"/>
      <c r="T88" s="277"/>
    </row>
    <row r="89" spans="1:20" ht="33" customHeight="1">
      <c r="A89" s="232" t="str">
        <f>'INNOVACION Y PRODUCTIVIDAD '!B16</f>
        <v>Plan de infraestructura física en camino a procesos de eficiencia energética en el Campus.</v>
      </c>
      <c r="B89" s="45" t="str">
        <f>'INNOVACION Y PRODUCTIVIDAD '!D16</f>
        <v>ALTA
(94%)</v>
      </c>
      <c r="C89" s="98">
        <f>'INNOVACION Y PRODUCTIVIDAD '!AA16</f>
        <v>205040306.83136001</v>
      </c>
      <c r="D89" s="292">
        <f>SUM(C89:C92)</f>
        <v>6286727057.1212807</v>
      </c>
      <c r="E89" s="306"/>
      <c r="F89" s="164"/>
      <c r="G89" s="200"/>
      <c r="H89" s="200"/>
      <c r="I89" s="200"/>
      <c r="J89" s="200"/>
      <c r="K89" s="200"/>
      <c r="L89" s="200">
        <f>C89</f>
        <v>205040306.83136001</v>
      </c>
      <c r="M89" s="200"/>
      <c r="N89" s="200"/>
      <c r="O89" s="98"/>
      <c r="P89" s="98"/>
      <c r="Q89" s="98"/>
      <c r="R89" s="98">
        <f>SUM(F89:Q89)</f>
        <v>205040306.83136001</v>
      </c>
      <c r="S89" s="298">
        <f>SUM(R89:R92)</f>
        <v>6286727057.1212807</v>
      </c>
      <c r="T89" s="277"/>
    </row>
    <row r="90" spans="1:20" ht="33" customHeight="1">
      <c r="A90" s="232" t="str">
        <f>'INNOVACION Y PRODUCTIVIDAD '!B18</f>
        <v>Modernización de la infraestructura física y tecnológica al servicio de la academia y la investigación.</v>
      </c>
      <c r="B90" s="45" t="str">
        <f>'INNOVACION Y PRODUCTIVIDAD '!D18</f>
        <v>ALTA
(86%)</v>
      </c>
      <c r="C90" s="98">
        <f>'INNOVACION Y PRODUCTIVIDAD '!AA18</f>
        <v>2922368957.9315205</v>
      </c>
      <c r="D90" s="293"/>
      <c r="E90" s="306"/>
      <c r="F90" s="164"/>
      <c r="G90" s="200"/>
      <c r="H90" s="200"/>
      <c r="I90" s="200"/>
      <c r="J90" s="200"/>
      <c r="K90" s="200"/>
      <c r="L90" s="200">
        <f>C90</f>
        <v>2922368957.9315205</v>
      </c>
      <c r="M90" s="200"/>
      <c r="N90" s="200"/>
      <c r="O90" s="98"/>
      <c r="P90" s="98"/>
      <c r="Q90" s="98"/>
      <c r="R90" s="98">
        <f>SUM(F90:Q90)</f>
        <v>2922368957.9315205</v>
      </c>
      <c r="S90" s="298"/>
      <c r="T90" s="277"/>
    </row>
    <row r="91" spans="1:20" ht="33" customHeight="1">
      <c r="A91" s="232" t="str">
        <f>'INNOVACION Y PRODUCTIVIDAD '!B19</f>
        <v>Dotar espacios académicos e investigativos con infraestructura física y tecnológica, moderna y flexible, que se adapte a las necesidades de la comunidad y la diversidad de la misma.</v>
      </c>
      <c r="B91" s="45" t="str">
        <f>'INNOVACION Y PRODUCTIVIDAD '!D19</f>
        <v>ALTA
(100%)</v>
      </c>
      <c r="C91" s="98">
        <f>'INNOVACION Y PRODUCTIVIDAD '!AA19</f>
        <v>3159317792.3584003</v>
      </c>
      <c r="D91" s="293"/>
      <c r="E91" s="306"/>
      <c r="F91" s="164"/>
      <c r="G91" s="200"/>
      <c r="H91" s="200"/>
      <c r="I91" s="200"/>
      <c r="J91" s="200"/>
      <c r="K91" s="200"/>
      <c r="L91" s="200">
        <f>C91</f>
        <v>3159317792.3584003</v>
      </c>
      <c r="M91" s="200"/>
      <c r="N91" s="200"/>
      <c r="O91" s="98"/>
      <c r="P91" s="98"/>
      <c r="Q91" s="98"/>
      <c r="R91" s="98">
        <f>SUM(F91:Q91)</f>
        <v>3159317792.3584003</v>
      </c>
      <c r="S91" s="298"/>
      <c r="T91" s="277"/>
    </row>
    <row r="92" spans="1:20" ht="33" customHeight="1">
      <c r="A92" s="232" t="str">
        <f>'INNOVACION Y PRODUCTIVIDAD '!B20</f>
        <v>Apropiación social de la ciencia, la tecnología y la innovación en los procesos institucionales.</v>
      </c>
      <c r="B92" s="45" t="str">
        <f>'INNOVACION Y PRODUCTIVIDAD '!D20</f>
        <v>MEDIA
(77%)</v>
      </c>
      <c r="C92" s="98">
        <f>'INNOVACION Y PRODUCTIVIDAD '!AA20</f>
        <v>0</v>
      </c>
      <c r="D92" s="294"/>
      <c r="E92" s="306"/>
      <c r="F92" s="164"/>
      <c r="G92" s="200"/>
      <c r="H92" s="200"/>
      <c r="I92" s="200"/>
      <c r="J92" s="200"/>
      <c r="K92" s="200"/>
      <c r="L92" s="200"/>
      <c r="M92" s="200"/>
      <c r="N92" s="200"/>
      <c r="O92" s="98"/>
      <c r="P92" s="98"/>
      <c r="Q92" s="98">
        <f>C92</f>
        <v>0</v>
      </c>
      <c r="R92" s="98">
        <f>SUM(F92:Q92)</f>
        <v>0</v>
      </c>
      <c r="S92" s="298"/>
      <c r="T92" s="277"/>
    </row>
    <row r="93" spans="1:20">
      <c r="A93" s="273" t="s">
        <v>66</v>
      </c>
      <c r="B93" s="274"/>
      <c r="C93" s="274"/>
      <c r="D93" s="275"/>
      <c r="E93" s="306"/>
      <c r="F93" s="295"/>
      <c r="G93" s="296"/>
      <c r="H93" s="296"/>
      <c r="I93" s="296"/>
      <c r="J93" s="296"/>
      <c r="K93" s="296"/>
      <c r="L93" s="296"/>
      <c r="M93" s="296"/>
      <c r="N93" s="296"/>
      <c r="O93" s="297"/>
      <c r="P93" s="297"/>
      <c r="Q93" s="297"/>
      <c r="R93" s="297"/>
      <c r="S93" s="297"/>
      <c r="T93" s="277"/>
    </row>
    <row r="94" spans="1:20" ht="33.75" customHeight="1">
      <c r="A94" s="232" t="str">
        <f>'INNOVACION Y PRODUCTIVIDAD '!B21</f>
        <v>Implementar un portafolio de proyectos de innovación y creación de nuevos productos/servicios.</v>
      </c>
      <c r="B94" s="45" t="str">
        <f>'INNOVACION Y PRODUCTIVIDAD '!D21</f>
        <v>MEDIA
(62%)</v>
      </c>
      <c r="C94" s="98">
        <f>'INNOVACION Y PRODUCTIVIDAD '!AA21</f>
        <v>0</v>
      </c>
      <c r="D94" s="292">
        <f>SUM(C94:C96)</f>
        <v>236948834.42688</v>
      </c>
      <c r="E94" s="306"/>
      <c r="F94" s="164"/>
      <c r="G94" s="200"/>
      <c r="H94" s="200"/>
      <c r="I94" s="200"/>
      <c r="J94" s="200"/>
      <c r="K94" s="200"/>
      <c r="L94" s="200"/>
      <c r="M94" s="200"/>
      <c r="N94" s="200"/>
      <c r="O94" s="98"/>
      <c r="P94" s="98"/>
      <c r="Q94" s="98">
        <f>C94</f>
        <v>0</v>
      </c>
      <c r="R94" s="98">
        <f>SUM(F94:Q94)</f>
        <v>0</v>
      </c>
      <c r="S94" s="298">
        <f>SUM(R94:R96)</f>
        <v>236948834.42688</v>
      </c>
      <c r="T94" s="277"/>
    </row>
    <row r="95" spans="1:20" ht="33.75" customHeight="1">
      <c r="A95" s="232" t="str">
        <f>'INNOVACION Y PRODUCTIVIDAD '!B22</f>
        <v>Fomentar innovaciones sociales, tecnológicas, organizacionales en investigación y desarrollo.</v>
      </c>
      <c r="B95" s="45" t="str">
        <f>'INNOVACION Y PRODUCTIVIDAD '!D22</f>
        <v>MEDIA
(79%)</v>
      </c>
      <c r="C95" s="98">
        <f>'INNOVACION Y PRODUCTIVIDAD '!AA22</f>
        <v>236948834.42688</v>
      </c>
      <c r="D95" s="293"/>
      <c r="E95" s="306"/>
      <c r="F95" s="164"/>
      <c r="G95" s="200"/>
      <c r="H95" s="200">
        <f>C95</f>
        <v>236948834.42688</v>
      </c>
      <c r="I95" s="200"/>
      <c r="J95" s="200"/>
      <c r="K95" s="200"/>
      <c r="L95" s="200"/>
      <c r="M95" s="200"/>
      <c r="N95" s="200"/>
      <c r="O95" s="98"/>
      <c r="P95" s="98"/>
      <c r="Q95" s="98"/>
      <c r="R95" s="98">
        <f>SUM(F95:Q95)</f>
        <v>236948834.42688</v>
      </c>
      <c r="S95" s="298"/>
      <c r="T95" s="277"/>
    </row>
    <row r="96" spans="1:20" ht="33.75" customHeight="1">
      <c r="A96" s="232" t="str">
        <f>'INNOVACION Y PRODUCTIVIDAD '!B23</f>
        <v xml:space="preserve">Puesta en marcha del Centro de Innovación y Productividad de las UTS (CIP-UTS) articulado con los sistemas nacionales y regionales de innovación. </v>
      </c>
      <c r="B96" s="45" t="str">
        <f>'INNOVACION Y PRODUCTIVIDAD '!D23</f>
        <v>ALTA
(85%)</v>
      </c>
      <c r="C96" s="98">
        <f>'INNOVACION Y PRODUCTIVIDAD '!AA23</f>
        <v>0</v>
      </c>
      <c r="D96" s="294"/>
      <c r="E96" s="307"/>
      <c r="F96" s="164"/>
      <c r="G96" s="200"/>
      <c r="H96" s="200"/>
      <c r="I96" s="200"/>
      <c r="J96" s="200"/>
      <c r="K96" s="200"/>
      <c r="L96" s="200"/>
      <c r="M96" s="200"/>
      <c r="N96" s="200"/>
      <c r="O96" s="98"/>
      <c r="P96" s="98"/>
      <c r="Q96" s="98">
        <f>C96</f>
        <v>0</v>
      </c>
      <c r="R96" s="98">
        <f>SUM(F96:Q96)</f>
        <v>0</v>
      </c>
      <c r="S96" s="298"/>
      <c r="T96" s="278"/>
    </row>
    <row r="97" spans="1:20" ht="21" customHeight="1">
      <c r="A97" s="310" t="s">
        <v>24</v>
      </c>
      <c r="B97" s="310"/>
      <c r="C97" s="310"/>
      <c r="D97" s="310"/>
      <c r="E97" s="302"/>
      <c r="F97" s="203">
        <f>F99+F100+F101</f>
        <v>0</v>
      </c>
      <c r="G97" s="204">
        <f t="shared" ref="G97:Q97" si="5">G99+G100+G101</f>
        <v>0</v>
      </c>
      <c r="H97" s="204">
        <f t="shared" si="5"/>
        <v>0</v>
      </c>
      <c r="I97" s="204">
        <f t="shared" si="5"/>
        <v>256694570.62911999</v>
      </c>
      <c r="J97" s="204">
        <f t="shared" si="5"/>
        <v>0</v>
      </c>
      <c r="K97" s="204">
        <f t="shared" si="5"/>
        <v>256694570.62911999</v>
      </c>
      <c r="L97" s="204">
        <f t="shared" si="5"/>
        <v>0</v>
      </c>
      <c r="M97" s="204">
        <f t="shared" si="5"/>
        <v>0</v>
      </c>
      <c r="N97" s="204">
        <f t="shared" si="5"/>
        <v>0</v>
      </c>
      <c r="O97" s="204">
        <f t="shared" si="5"/>
        <v>0</v>
      </c>
      <c r="P97" s="204">
        <f t="shared" si="5"/>
        <v>0</v>
      </c>
      <c r="Q97" s="204">
        <f t="shared" si="5"/>
        <v>0</v>
      </c>
      <c r="R97" s="175"/>
      <c r="S97" s="175"/>
      <c r="T97" s="177"/>
    </row>
    <row r="98" spans="1:20">
      <c r="A98" s="273" t="s">
        <v>67</v>
      </c>
      <c r="B98" s="274"/>
      <c r="C98" s="274"/>
      <c r="D98" s="275"/>
      <c r="E98" s="300">
        <f>D99</f>
        <v>513389141.25823998</v>
      </c>
      <c r="F98" s="295"/>
      <c r="G98" s="296"/>
      <c r="H98" s="296"/>
      <c r="I98" s="296"/>
      <c r="J98" s="296"/>
      <c r="K98" s="296"/>
      <c r="L98" s="296"/>
      <c r="M98" s="296"/>
      <c r="N98" s="296"/>
      <c r="O98" s="297"/>
      <c r="P98" s="297"/>
      <c r="Q98" s="297"/>
      <c r="R98" s="297"/>
      <c r="S98" s="297"/>
      <c r="T98" s="276">
        <f>S99</f>
        <v>513389141.25823998</v>
      </c>
    </row>
    <row r="99" spans="1:20" ht="33" customHeight="1">
      <c r="A99" s="232" t="str">
        <f>'EMPRENDIMIENTO, CREATIVIDAD '!B5</f>
        <v>Cultura y pensamiento.</v>
      </c>
      <c r="B99" s="45" t="str">
        <f>'EMPRENDIMIENTO, CREATIVIDAD '!D5</f>
        <v>ALTA
(92%)</v>
      </c>
      <c r="C99" s="98">
        <f>'EMPRENDIMIENTO, CREATIVIDAD '!AA5</f>
        <v>157965889.61791998</v>
      </c>
      <c r="D99" s="292">
        <f>SUM(C99:C101)</f>
        <v>513389141.25823998</v>
      </c>
      <c r="E99" s="301"/>
      <c r="F99" s="164"/>
      <c r="G99" s="200"/>
      <c r="H99" s="200"/>
      <c r="I99" s="200">
        <f>C99/2</f>
        <v>78982944.808959991</v>
      </c>
      <c r="J99" s="200"/>
      <c r="K99" s="200">
        <f>C99/2</f>
        <v>78982944.808959991</v>
      </c>
      <c r="L99" s="200"/>
      <c r="M99" s="200"/>
      <c r="N99" s="200"/>
      <c r="O99" s="98"/>
      <c r="P99" s="98"/>
      <c r="Q99" s="98"/>
      <c r="R99" s="98">
        <f>SUM(F99:Q99)</f>
        <v>157965889.61791998</v>
      </c>
      <c r="S99" s="298">
        <f>SUM(R99:R101)</f>
        <v>513389141.25823998</v>
      </c>
      <c r="T99" s="277"/>
    </row>
    <row r="100" spans="1:20" ht="33" customHeight="1">
      <c r="A100" s="232" t="str">
        <f>'EMPRENDIMIENTO, CREATIVIDAD '!B7</f>
        <v xml:space="preserve">Emprendimiento e innovación.  </v>
      </c>
      <c r="B100" s="45" t="str">
        <f>'EMPRENDIMIENTO, CREATIVIDAD '!D7</f>
        <v>ALTA
(92%)</v>
      </c>
      <c r="C100" s="98">
        <f>'EMPRENDIMIENTO, CREATIVIDAD '!AA7</f>
        <v>0</v>
      </c>
      <c r="D100" s="293"/>
      <c r="E100" s="301"/>
      <c r="F100" s="164"/>
      <c r="G100" s="200"/>
      <c r="H100" s="200"/>
      <c r="I100" s="200"/>
      <c r="J100" s="200"/>
      <c r="K100" s="200"/>
      <c r="L100" s="200"/>
      <c r="M100" s="200"/>
      <c r="N100" s="200"/>
      <c r="O100" s="98"/>
      <c r="P100" s="98"/>
      <c r="Q100" s="98">
        <f>C100</f>
        <v>0</v>
      </c>
      <c r="R100" s="98">
        <f>SUM(F100:Q100)</f>
        <v>0</v>
      </c>
      <c r="S100" s="298"/>
      <c r="T100" s="277"/>
    </row>
    <row r="101" spans="1:20" ht="33" customHeight="1">
      <c r="A101" s="232" t="str">
        <f>'EMPRENDIMIENTO, CREATIVIDAD '!B9</f>
        <v>Fortalecimiento empresarial.</v>
      </c>
      <c r="B101" s="45" t="str">
        <f>'EMPRENDIMIENTO, CREATIVIDAD '!D9</f>
        <v>ALTA
(92%)</v>
      </c>
      <c r="C101" s="98">
        <f>'EMPRENDIMIENTO, CREATIVIDAD '!AA9</f>
        <v>355423251.64032</v>
      </c>
      <c r="D101" s="294"/>
      <c r="E101" s="304"/>
      <c r="F101" s="164"/>
      <c r="G101" s="200"/>
      <c r="H101" s="200"/>
      <c r="I101" s="200">
        <f>C101/2</f>
        <v>177711625.82016</v>
      </c>
      <c r="J101" s="200"/>
      <c r="K101" s="200">
        <f>C101/2</f>
        <v>177711625.82016</v>
      </c>
      <c r="L101" s="200"/>
      <c r="M101" s="200"/>
      <c r="N101" s="200"/>
      <c r="O101" s="98"/>
      <c r="P101" s="98"/>
      <c r="Q101" s="98"/>
      <c r="R101" s="98">
        <f>SUM(F101:Q101)</f>
        <v>355423251.64032</v>
      </c>
      <c r="S101" s="298"/>
      <c r="T101" s="278"/>
    </row>
    <row r="102" spans="1:20" ht="22.5" customHeight="1">
      <c r="A102" s="308" t="s">
        <v>25</v>
      </c>
      <c r="B102" s="308"/>
      <c r="C102" s="308"/>
      <c r="D102" s="308"/>
      <c r="E102" s="309"/>
      <c r="F102" s="289"/>
      <c r="G102" s="290"/>
      <c r="H102" s="290"/>
      <c r="I102" s="290"/>
      <c r="J102" s="290"/>
      <c r="K102" s="290"/>
      <c r="L102" s="290"/>
      <c r="M102" s="290"/>
      <c r="N102" s="290"/>
      <c r="O102" s="290"/>
      <c r="P102" s="290"/>
      <c r="Q102" s="290"/>
      <c r="R102" s="290"/>
      <c r="S102" s="290"/>
      <c r="T102" s="291"/>
    </row>
    <row r="103" spans="1:20" ht="21" customHeight="1">
      <c r="A103" s="310" t="s">
        <v>26</v>
      </c>
      <c r="B103" s="310"/>
      <c r="C103" s="310"/>
      <c r="D103" s="310"/>
      <c r="E103" s="302"/>
      <c r="F103" s="203">
        <f>F105+F107+F108+F110+F111+F112</f>
        <v>222474417.21344</v>
      </c>
      <c r="G103" s="204">
        <f t="shared" ref="G103:Q103" si="6">G105+G107+G108+G110+G111+G112</f>
        <v>0</v>
      </c>
      <c r="H103" s="204">
        <f t="shared" si="6"/>
        <v>0</v>
      </c>
      <c r="I103" s="204">
        <f t="shared" si="6"/>
        <v>0</v>
      </c>
      <c r="J103" s="204">
        <f t="shared" si="6"/>
        <v>0</v>
      </c>
      <c r="K103" s="204">
        <f t="shared" si="6"/>
        <v>19542837014.421505</v>
      </c>
      <c r="L103" s="204">
        <f t="shared" si="6"/>
        <v>0</v>
      </c>
      <c r="M103" s="204">
        <f t="shared" si="6"/>
        <v>0</v>
      </c>
      <c r="N103" s="204">
        <f t="shared" si="6"/>
        <v>0</v>
      </c>
      <c r="O103" s="204">
        <f t="shared" si="6"/>
        <v>0</v>
      </c>
      <c r="P103" s="204">
        <f t="shared" si="6"/>
        <v>118474417.21343999</v>
      </c>
      <c r="Q103" s="204">
        <f t="shared" si="6"/>
        <v>0</v>
      </c>
      <c r="R103" s="197"/>
      <c r="S103" s="197"/>
      <c r="T103" s="177"/>
    </row>
    <row r="104" spans="1:20">
      <c r="A104" s="273" t="s">
        <v>68</v>
      </c>
      <c r="B104" s="274"/>
      <c r="C104" s="274"/>
      <c r="D104" s="275"/>
      <c r="E104" s="305">
        <f>D105+D107+D110</f>
        <v>19883785848.848385</v>
      </c>
      <c r="F104" s="295"/>
      <c r="G104" s="296"/>
      <c r="H104" s="296"/>
      <c r="I104" s="296"/>
      <c r="J104" s="296"/>
      <c r="K104" s="296"/>
      <c r="L104" s="296"/>
      <c r="M104" s="296"/>
      <c r="N104" s="296"/>
      <c r="O104" s="297"/>
      <c r="P104" s="297"/>
      <c r="Q104" s="297"/>
      <c r="R104" s="297"/>
      <c r="S104" s="297"/>
      <c r="T104" s="276">
        <f>S105+S107+S110</f>
        <v>19883785848.848385</v>
      </c>
    </row>
    <row r="105" spans="1:20" ht="47.25" customHeight="1">
      <c r="A105" s="232" t="str">
        <f>INTERNACIONALIZACION!B5</f>
        <v>Implementar mecanismos de cooperación nacional e internacional, que amplíen las oportunidades de realizar estudios posgraduales, faciliten el intercambio de conocimientos y recursos y posibiliten la movilidad de la comunidad Uteísta.</v>
      </c>
      <c r="B105" s="45" t="str">
        <f>INTERNACIONALIZACION!D5</f>
        <v>MEDIA
(77%)</v>
      </c>
      <c r="C105" s="98">
        <f>INTERNACIONALIZACION!AA5</f>
        <v>0</v>
      </c>
      <c r="D105" s="98">
        <f>C105</f>
        <v>0</v>
      </c>
      <c r="E105" s="306"/>
      <c r="F105" s="164"/>
      <c r="G105" s="200"/>
      <c r="H105" s="200"/>
      <c r="I105" s="200"/>
      <c r="J105" s="200"/>
      <c r="K105" s="200"/>
      <c r="L105" s="200"/>
      <c r="M105" s="200"/>
      <c r="N105" s="200"/>
      <c r="O105" s="98"/>
      <c r="P105" s="98"/>
      <c r="Q105" s="98">
        <f>C105</f>
        <v>0</v>
      </c>
      <c r="R105" s="98">
        <f>SUM(F105:Q105)</f>
        <v>0</v>
      </c>
      <c r="S105" s="98">
        <f>R105</f>
        <v>0</v>
      </c>
      <c r="T105" s="277"/>
    </row>
    <row r="106" spans="1:20">
      <c r="A106" s="273" t="s">
        <v>69</v>
      </c>
      <c r="B106" s="274"/>
      <c r="C106" s="274"/>
      <c r="D106" s="275"/>
      <c r="E106" s="306"/>
      <c r="F106" s="295"/>
      <c r="G106" s="296"/>
      <c r="H106" s="296"/>
      <c r="I106" s="296"/>
      <c r="J106" s="296"/>
      <c r="K106" s="296"/>
      <c r="L106" s="296"/>
      <c r="M106" s="296"/>
      <c r="N106" s="296"/>
      <c r="O106" s="297"/>
      <c r="P106" s="297"/>
      <c r="Q106" s="297"/>
      <c r="R106" s="297"/>
      <c r="S106" s="297"/>
      <c r="T106" s="277"/>
    </row>
    <row r="107" spans="1:20" ht="34.5" customHeight="1">
      <c r="A107" s="232" t="str">
        <f>INTERNACIONALIZACION!B10</f>
        <v>Implementar estrategias y mecanismos que faciliten el desarrollo de habilidades comunicativas y sociales en diversas lenguas y culturas para facilitar el intercambio nacional e internacional.</v>
      </c>
      <c r="B107" s="45" t="str">
        <f>INTERNACIONALIZACION!D10</f>
        <v>ALTA
(90%)</v>
      </c>
      <c r="C107" s="98">
        <f>INTERNACIONALIZACION!AA10</f>
        <v>236948834.42687997</v>
      </c>
      <c r="D107" s="292">
        <f>SUM(C107:C108)</f>
        <v>236948834.42687997</v>
      </c>
      <c r="E107" s="306"/>
      <c r="F107" s="164">
        <f>C107/2</f>
        <v>118474417.21343999</v>
      </c>
      <c r="G107" s="200"/>
      <c r="H107" s="200"/>
      <c r="I107" s="200"/>
      <c r="J107" s="200"/>
      <c r="K107" s="200"/>
      <c r="L107" s="200"/>
      <c r="M107" s="200"/>
      <c r="N107" s="200"/>
      <c r="O107" s="98"/>
      <c r="P107" s="98">
        <f>C107/2</f>
        <v>118474417.21343999</v>
      </c>
      <c r="Q107" s="98"/>
      <c r="R107" s="98">
        <f>SUM(F107:Q107)</f>
        <v>236948834.42687997</v>
      </c>
      <c r="S107" s="298">
        <f>SUM(R107:R108)</f>
        <v>236948834.42687997</v>
      </c>
      <c r="T107" s="277"/>
    </row>
    <row r="108" spans="1:20" ht="34.5" customHeight="1">
      <c r="A108" s="232" t="str">
        <f>INTERNACIONALIZACION!B21</f>
        <v>Promover estrategias de formación en el manejo de segunda lengua para la comunidad Uteísta.</v>
      </c>
      <c r="B108" s="45" t="str">
        <f>INTERNACIONALIZACION!D21</f>
        <v>ALTA
(85%)</v>
      </c>
      <c r="C108" s="98">
        <f>INTERNACIONALIZACION!AA21</f>
        <v>0</v>
      </c>
      <c r="D108" s="294"/>
      <c r="E108" s="306"/>
      <c r="F108" s="164"/>
      <c r="G108" s="200"/>
      <c r="H108" s="200"/>
      <c r="I108" s="200"/>
      <c r="J108" s="200"/>
      <c r="K108" s="200"/>
      <c r="L108" s="200"/>
      <c r="M108" s="200"/>
      <c r="N108" s="200"/>
      <c r="O108" s="98"/>
      <c r="P108" s="98"/>
      <c r="Q108" s="98">
        <f>C108</f>
        <v>0</v>
      </c>
      <c r="R108" s="98">
        <f>SUM(F108:Q108)</f>
        <v>0</v>
      </c>
      <c r="S108" s="298"/>
      <c r="T108" s="277"/>
    </row>
    <row r="109" spans="1:20">
      <c r="A109" s="273" t="s">
        <v>70</v>
      </c>
      <c r="B109" s="274"/>
      <c r="C109" s="274"/>
      <c r="D109" s="275"/>
      <c r="E109" s="306"/>
      <c r="F109" s="295"/>
      <c r="G109" s="296"/>
      <c r="H109" s="296"/>
      <c r="I109" s="296"/>
      <c r="J109" s="296"/>
      <c r="K109" s="296"/>
      <c r="L109" s="296"/>
      <c r="M109" s="296"/>
      <c r="N109" s="296"/>
      <c r="O109" s="297"/>
      <c r="P109" s="297"/>
      <c r="Q109" s="297"/>
      <c r="R109" s="297"/>
      <c r="S109" s="297"/>
      <c r="T109" s="277"/>
    </row>
    <row r="110" spans="1:20" ht="34.5" customHeight="1">
      <c r="A110" s="232" t="str">
        <f>INTERNACIONALIZACION!B23</f>
        <v>Fortalecer a las UTS en movilidad e interacción con el entorno, nacional e internacional, en relación a la participación en eventos y actividades de carácter misional.</v>
      </c>
      <c r="B110" s="45" t="str">
        <f>INTERNACIONALIZACION!D23</f>
        <v>ALTA
(100%)</v>
      </c>
      <c r="C110" s="98">
        <f>INTERNACIONALIZACION!AA23</f>
        <v>19201888179.994625</v>
      </c>
      <c r="D110" s="292">
        <f>SUM(C110:C112)</f>
        <v>19646837014.421505</v>
      </c>
      <c r="E110" s="306"/>
      <c r="F110" s="164"/>
      <c r="G110" s="200"/>
      <c r="H110" s="200"/>
      <c r="I110" s="200"/>
      <c r="J110" s="200"/>
      <c r="K110" s="200">
        <f>C110</f>
        <v>19201888179.994625</v>
      </c>
      <c r="L110" s="200"/>
      <c r="M110" s="200"/>
      <c r="N110" s="200"/>
      <c r="O110" s="98"/>
      <c r="P110" s="98"/>
      <c r="Q110" s="98"/>
      <c r="R110" s="98">
        <f>SUM(F110:Q110)</f>
        <v>19201888179.994625</v>
      </c>
      <c r="S110" s="298">
        <f>SUM(R110:R112)</f>
        <v>19646837014.421505</v>
      </c>
      <c r="T110" s="277"/>
    </row>
    <row r="111" spans="1:20" ht="34.5" customHeight="1">
      <c r="A111" s="232" t="str">
        <f>INTERNACIONALIZACION!B26</f>
        <v>Crear e implementar un sistema de gestión de la movilidad institucional con el fin de  realizar seguimiento y control a los indicadores de los programas académicos, investigativos y de extensión.</v>
      </c>
      <c r="B111" s="45" t="str">
        <f>INTERNACIONALIZACION!D26</f>
        <v>ALTA
(100%)</v>
      </c>
      <c r="C111" s="98">
        <f>INTERNACIONALIZACION!AA26</f>
        <v>208000000</v>
      </c>
      <c r="D111" s="293"/>
      <c r="E111" s="306"/>
      <c r="F111" s="164">
        <f>C111/2</f>
        <v>104000000</v>
      </c>
      <c r="G111" s="200"/>
      <c r="H111" s="200"/>
      <c r="I111" s="200"/>
      <c r="J111" s="200"/>
      <c r="K111" s="200">
        <f>C111/2</f>
        <v>104000000</v>
      </c>
      <c r="L111" s="200"/>
      <c r="M111" s="200"/>
      <c r="N111" s="200"/>
      <c r="O111" s="98"/>
      <c r="P111" s="98"/>
      <c r="Q111" s="98"/>
      <c r="R111" s="98">
        <f>SUM(F111:Q111)</f>
        <v>208000000</v>
      </c>
      <c r="S111" s="298"/>
      <c r="T111" s="277"/>
    </row>
    <row r="112" spans="1:20" ht="47.25" customHeight="1">
      <c r="A112" s="232" t="str">
        <f>INTERNACIONALIZACION!B28</f>
        <v>Generar espacios de realimentación donde la comunidad académica que participa de procesos de movilidad nacional e internacional, comparta sus experiencias y productos académicos a través de conversatorios, eventos académicos, culturales y deportivos, promocionando y fortaleciendo la multiculturalidad.</v>
      </c>
      <c r="B112" s="45" t="str">
        <f>INTERNACIONALIZACION!D28</f>
        <v>ALTA
(100%)</v>
      </c>
      <c r="C112" s="98">
        <f>INTERNACIONALIZACION!AA28</f>
        <v>236948834.42688</v>
      </c>
      <c r="D112" s="294"/>
      <c r="E112" s="307"/>
      <c r="F112" s="164"/>
      <c r="G112" s="200"/>
      <c r="H112" s="200"/>
      <c r="I112" s="200"/>
      <c r="J112" s="200"/>
      <c r="K112" s="200">
        <f>C112</f>
        <v>236948834.42688</v>
      </c>
      <c r="L112" s="200"/>
      <c r="M112" s="200"/>
      <c r="N112" s="200"/>
      <c r="O112" s="98"/>
      <c r="P112" s="98"/>
      <c r="Q112" s="98"/>
      <c r="R112" s="98">
        <f>SUM(F112:Q112)</f>
        <v>236948834.42688</v>
      </c>
      <c r="S112" s="298"/>
      <c r="T112" s="278"/>
    </row>
    <row r="113" spans="1:20" ht="24.75" customHeight="1">
      <c r="A113" s="308" t="s">
        <v>27</v>
      </c>
      <c r="B113" s="308"/>
      <c r="C113" s="308"/>
      <c r="D113" s="308"/>
      <c r="E113" s="309"/>
      <c r="F113" s="289"/>
      <c r="G113" s="290"/>
      <c r="H113" s="290"/>
      <c r="I113" s="290"/>
      <c r="J113" s="290"/>
      <c r="K113" s="290"/>
      <c r="L113" s="290"/>
      <c r="M113" s="290"/>
      <c r="N113" s="290"/>
      <c r="O113" s="290"/>
      <c r="P113" s="290"/>
      <c r="Q113" s="290"/>
      <c r="R113" s="290"/>
      <c r="S113" s="290"/>
      <c r="T113" s="291"/>
    </row>
    <row r="114" spans="1:20" ht="21" customHeight="1">
      <c r="A114" s="310" t="s">
        <v>28</v>
      </c>
      <c r="B114" s="310"/>
      <c r="C114" s="310"/>
      <c r="D114" s="310"/>
      <c r="E114" s="302"/>
      <c r="F114" s="203">
        <f>F116+F117+F119+F120+F122+F123+F124+F126+F127+F129+F130+F131</f>
        <v>5923720860.6719999</v>
      </c>
      <c r="G114" s="204">
        <f t="shared" ref="G114:Q114" si="7">G116+G117+G119+G120+G122+G123+G124+G126+G127+G129+G130+G131</f>
        <v>0</v>
      </c>
      <c r="H114" s="204">
        <f t="shared" si="7"/>
        <v>0</v>
      </c>
      <c r="I114" s="204">
        <f t="shared" si="7"/>
        <v>0</v>
      </c>
      <c r="J114" s="204">
        <f t="shared" si="7"/>
        <v>8676276487.2642555</v>
      </c>
      <c r="K114" s="204">
        <f t="shared" si="7"/>
        <v>413897668.85376</v>
      </c>
      <c r="L114" s="204">
        <f t="shared" si="7"/>
        <v>0</v>
      </c>
      <c r="M114" s="204">
        <f t="shared" si="7"/>
        <v>0</v>
      </c>
      <c r="N114" s="204">
        <f t="shared" si="7"/>
        <v>0</v>
      </c>
      <c r="O114" s="204">
        <f t="shared" si="7"/>
        <v>1173981380.7411201</v>
      </c>
      <c r="P114" s="204">
        <f t="shared" si="7"/>
        <v>1579658896.1792002</v>
      </c>
      <c r="Q114" s="204">
        <f t="shared" si="7"/>
        <v>3949147240.448</v>
      </c>
      <c r="R114" s="197"/>
      <c r="S114" s="197"/>
      <c r="T114" s="207"/>
    </row>
    <row r="115" spans="1:20">
      <c r="A115" s="273" t="s">
        <v>71</v>
      </c>
      <c r="B115" s="274"/>
      <c r="C115" s="274"/>
      <c r="D115" s="275"/>
      <c r="E115" s="305">
        <f>D116+D119+D122+D126+D129</f>
        <v>21716682534.158333</v>
      </c>
      <c r="F115" s="295"/>
      <c r="G115" s="296"/>
      <c r="H115" s="296"/>
      <c r="I115" s="296"/>
      <c r="J115" s="296"/>
      <c r="K115" s="296"/>
      <c r="L115" s="296"/>
      <c r="M115" s="296"/>
      <c r="N115" s="296"/>
      <c r="O115" s="297"/>
      <c r="P115" s="297"/>
      <c r="Q115" s="297"/>
      <c r="R115" s="297"/>
      <c r="S115" s="297"/>
      <c r="T115" s="276">
        <f>S116+S119+S122+S126+S129</f>
        <v>21716682534.158333</v>
      </c>
    </row>
    <row r="116" spans="1:20" ht="33" customHeight="1">
      <c r="A116" s="232" t="str">
        <f>'COMUNIDAD Y CULTURA INSTITUCION'!B5</f>
        <v>Establecer estrategias con apoyo de otras dependencias dirigidas a estudiantes con dificultades económicas, con el fin de contribuir al mejoramiento de la calidad de vida.</v>
      </c>
      <c r="B116" s="45" t="str">
        <f>'COMUNIDAD Y CULTURA INSTITUCION'!D5</f>
        <v>ALTA
(88%)</v>
      </c>
      <c r="C116" s="98">
        <f>'COMUNIDAD Y CULTURA INSTITUCION'!AA5</f>
        <v>3949147240.448</v>
      </c>
      <c r="D116" s="292">
        <f>SUM(C116:C117)</f>
        <v>3996537007.3333759</v>
      </c>
      <c r="E116" s="306"/>
      <c r="F116" s="164"/>
      <c r="G116" s="200"/>
      <c r="H116" s="200"/>
      <c r="I116" s="200"/>
      <c r="J116" s="200"/>
      <c r="K116" s="200"/>
      <c r="L116" s="200"/>
      <c r="M116" s="200"/>
      <c r="N116" s="200"/>
      <c r="O116" s="98"/>
      <c r="P116" s="98"/>
      <c r="Q116" s="98">
        <f>C116</f>
        <v>3949147240.448</v>
      </c>
      <c r="R116" s="98">
        <f>SUM(F116:Q116)</f>
        <v>3949147240.448</v>
      </c>
      <c r="S116" s="298">
        <f>SUM(R116:R117)</f>
        <v>3996537007.3333759</v>
      </c>
      <c r="T116" s="277"/>
    </row>
    <row r="117" spans="1:20" ht="33" customHeight="1">
      <c r="A117" s="232" t="str">
        <f>'COMUNIDAD Y CULTURA INSTITUCION'!B6</f>
        <v>Fomentar la capacidad de relacionarse y comunicarse dentro de la comunidad Uteísta, y así mismo desarrollar el sentido de pertenencia y compromiso individual con la institución.</v>
      </c>
      <c r="B117" s="45" t="str">
        <f>'COMUNIDAD Y CULTURA INSTITUCION'!D6</f>
        <v>MEDIA
(63%)</v>
      </c>
      <c r="C117" s="98">
        <f>'COMUNIDAD Y CULTURA INSTITUCION'!AA6</f>
        <v>47389766.885376006</v>
      </c>
      <c r="D117" s="294"/>
      <c r="E117" s="306"/>
      <c r="F117" s="164"/>
      <c r="G117" s="200"/>
      <c r="H117" s="200"/>
      <c r="I117" s="200"/>
      <c r="J117" s="200">
        <f>C117</f>
        <v>47389766.885376006</v>
      </c>
      <c r="K117" s="200"/>
      <c r="L117" s="200"/>
      <c r="M117" s="200"/>
      <c r="N117" s="200"/>
      <c r="O117" s="98"/>
      <c r="P117" s="98"/>
      <c r="Q117" s="98"/>
      <c r="R117" s="98">
        <f>SUM(F117:Q117)</f>
        <v>47389766.885376006</v>
      </c>
      <c r="S117" s="298"/>
      <c r="T117" s="277"/>
    </row>
    <row r="118" spans="1:20">
      <c r="A118" s="273" t="s">
        <v>72</v>
      </c>
      <c r="B118" s="274"/>
      <c r="C118" s="274"/>
      <c r="D118" s="275"/>
      <c r="E118" s="306"/>
      <c r="F118" s="295"/>
      <c r="G118" s="296"/>
      <c r="H118" s="296"/>
      <c r="I118" s="296"/>
      <c r="J118" s="296"/>
      <c r="K118" s="296"/>
      <c r="L118" s="296"/>
      <c r="M118" s="296"/>
      <c r="N118" s="296"/>
      <c r="O118" s="297"/>
      <c r="P118" s="297"/>
      <c r="Q118" s="297"/>
      <c r="R118" s="297"/>
      <c r="S118" s="297"/>
      <c r="T118" s="277"/>
    </row>
    <row r="119" spans="1:20" ht="36" customHeight="1">
      <c r="A119" s="232" t="str">
        <f>'COMUNIDAD Y CULTURA INSTITUCION'!B7</f>
        <v>Promover espacios de creación, intercambio, estimulación, sensibilización y apreciación de las diversas manifestaciones en arte y cultura entre la comunidad Uteísta.</v>
      </c>
      <c r="B119" s="45" t="str">
        <f>'COMUNIDAD Y CULTURA INSTITUCION'!D7</f>
        <v>ALTA
(100%)</v>
      </c>
      <c r="C119" s="98">
        <f>'COMUNIDAD Y CULTURA INSTITUCION'!AA7</f>
        <v>236948834.42688</v>
      </c>
      <c r="D119" s="292">
        <f>SUM(C119:C120)</f>
        <v>355423251.64032</v>
      </c>
      <c r="E119" s="306"/>
      <c r="F119" s="164"/>
      <c r="G119" s="200"/>
      <c r="H119" s="200"/>
      <c r="I119" s="200"/>
      <c r="J119" s="200">
        <f>C119</f>
        <v>236948834.42688</v>
      </c>
      <c r="K119" s="200"/>
      <c r="L119" s="200"/>
      <c r="M119" s="200"/>
      <c r="N119" s="200"/>
      <c r="O119" s="98"/>
      <c r="P119" s="98"/>
      <c r="Q119" s="98"/>
      <c r="R119" s="98">
        <f>SUM(F119:Q119)</f>
        <v>236948834.42688</v>
      </c>
      <c r="S119" s="298">
        <f>SUM(R119:R120)</f>
        <v>355423251.64032</v>
      </c>
      <c r="T119" s="277"/>
    </row>
    <row r="120" spans="1:20" ht="36" customHeight="1">
      <c r="A120" s="232" t="str">
        <f>'COMUNIDAD Y CULTURA INSTITUCION'!B8</f>
        <v>Desarrollar actividades libres que muestren las aptitudes artísticas y culturales de la comunidad institucional fomentando la construcción de la paz.</v>
      </c>
      <c r="B120" s="45" t="str">
        <f>'COMUNIDAD Y CULTURA INSTITUCION'!D8</f>
        <v>ALTA
(90%)</v>
      </c>
      <c r="C120" s="98">
        <f>'COMUNIDAD Y CULTURA INSTITUCION'!AA8</f>
        <v>118474417.21344</v>
      </c>
      <c r="D120" s="294"/>
      <c r="E120" s="306"/>
      <c r="F120" s="164"/>
      <c r="G120" s="200"/>
      <c r="H120" s="200"/>
      <c r="I120" s="200"/>
      <c r="J120" s="200">
        <f>C120</f>
        <v>118474417.21344</v>
      </c>
      <c r="K120" s="200"/>
      <c r="L120" s="200"/>
      <c r="M120" s="200"/>
      <c r="N120" s="200"/>
      <c r="O120" s="98"/>
      <c r="P120" s="98"/>
      <c r="Q120" s="98"/>
      <c r="R120" s="98">
        <f>SUM(F120:Q120)</f>
        <v>118474417.21344</v>
      </c>
      <c r="S120" s="298"/>
      <c r="T120" s="277"/>
    </row>
    <row r="121" spans="1:20">
      <c r="A121" s="273" t="s">
        <v>73</v>
      </c>
      <c r="B121" s="274"/>
      <c r="C121" s="274"/>
      <c r="D121" s="275"/>
      <c r="E121" s="306"/>
      <c r="F121" s="295"/>
      <c r="G121" s="296"/>
      <c r="H121" s="296"/>
      <c r="I121" s="296"/>
      <c r="J121" s="296"/>
      <c r="K121" s="296"/>
      <c r="L121" s="296"/>
      <c r="M121" s="296"/>
      <c r="N121" s="296"/>
      <c r="O121" s="297"/>
      <c r="P121" s="297"/>
      <c r="Q121" s="297"/>
      <c r="R121" s="297"/>
      <c r="S121" s="297"/>
      <c r="T121" s="277"/>
    </row>
    <row r="122" spans="1:20" ht="35.25" customHeight="1">
      <c r="A122" s="232" t="str">
        <f>'COMUNIDAD Y CULTURA INSTITUCION'!B9</f>
        <v xml:space="preserve">Desarrollar actividades de promoción de hábitos saludables y del fomento de la actividad física, el deporte y el adecuado uso del tiempo libre dirigido a los estudiantes, docentes y administrativos. </v>
      </c>
      <c r="B122" s="45" t="str">
        <f>'COMUNIDAD Y CULTURA INSTITUCION'!D9</f>
        <v>ALTA
(100%)</v>
      </c>
      <c r="C122" s="98">
        <f>'COMUNIDAD Y CULTURA INSTITUCION'!AA9</f>
        <v>1382201534.1568</v>
      </c>
      <c r="D122" s="292">
        <f>SUM(C122:C124)</f>
        <v>13229643255.500799</v>
      </c>
      <c r="E122" s="306"/>
      <c r="F122" s="164"/>
      <c r="G122" s="200"/>
      <c r="H122" s="200"/>
      <c r="I122" s="200"/>
      <c r="J122" s="200">
        <f>C122/2</f>
        <v>691100767.07840002</v>
      </c>
      <c r="K122" s="200"/>
      <c r="L122" s="200"/>
      <c r="M122" s="200"/>
      <c r="N122" s="200"/>
      <c r="O122" s="98">
        <f>C122/2</f>
        <v>691100767.07840002</v>
      </c>
      <c r="P122" s="98"/>
      <c r="Q122" s="98"/>
      <c r="R122" s="98">
        <f>SUM(F122:Q122)</f>
        <v>1382201534.1568</v>
      </c>
      <c r="S122" s="298">
        <f>SUM(R122:R124)</f>
        <v>13229643255.500799</v>
      </c>
      <c r="T122" s="277"/>
    </row>
    <row r="123" spans="1:20" ht="35.25" customHeight="1">
      <c r="A123" s="232" t="str">
        <f>'COMUNIDAD Y CULTURA INSTITUCION'!B11</f>
        <v>Crear espacios académicos y administrativos para garantizar la participación de la comunidad Uteísta en actividades de recreación y deporte.</v>
      </c>
      <c r="B123" s="45" t="str">
        <f>'COMUNIDAD Y CULTURA INSTITUCION'!D11</f>
        <v>ALTA
(85%)</v>
      </c>
      <c r="C123" s="98">
        <f>'COMUNIDAD Y CULTURA INSTITUCION'!AA11</f>
        <v>11847441721.344</v>
      </c>
      <c r="D123" s="293"/>
      <c r="E123" s="306"/>
      <c r="F123" s="164">
        <f>C123/2</f>
        <v>5923720860.6719999</v>
      </c>
      <c r="G123" s="200"/>
      <c r="H123" s="200"/>
      <c r="I123" s="200"/>
      <c r="J123" s="200">
        <f>C123/2</f>
        <v>5923720860.6719999</v>
      </c>
      <c r="K123" s="200"/>
      <c r="L123" s="200"/>
      <c r="M123" s="200"/>
      <c r="N123" s="200"/>
      <c r="O123" s="98"/>
      <c r="P123" s="98"/>
      <c r="Q123" s="98"/>
      <c r="R123" s="98">
        <f>SUM(F123:Q123)</f>
        <v>11847441721.344</v>
      </c>
      <c r="S123" s="298"/>
      <c r="T123" s="277"/>
    </row>
    <row r="124" spans="1:20" ht="35.25" customHeight="1">
      <c r="A124" s="232" t="str">
        <f>'COMUNIDAD Y CULTURA INSTITUCION'!B12</f>
        <v>Crear alianzas que faciliten el acceso a infraestructura y personal especializado para el desarrollo de acciones conjuntas de bienestar entre instituciones.</v>
      </c>
      <c r="B124" s="45" t="str">
        <f>'COMUNIDAD Y CULTURA INSTITUCION'!D12</f>
        <v>ALTA
(85%)</v>
      </c>
      <c r="C124" s="98">
        <f>'COMUNIDAD Y CULTURA INSTITUCION'!AA12</f>
        <v>0</v>
      </c>
      <c r="D124" s="294"/>
      <c r="E124" s="306"/>
      <c r="F124" s="164"/>
      <c r="G124" s="200"/>
      <c r="H124" s="200"/>
      <c r="I124" s="200"/>
      <c r="J124" s="200"/>
      <c r="K124" s="200"/>
      <c r="L124" s="200"/>
      <c r="M124" s="200"/>
      <c r="N124" s="200"/>
      <c r="O124" s="98"/>
      <c r="P124" s="98"/>
      <c r="Q124" s="98">
        <f>C124</f>
        <v>0</v>
      </c>
      <c r="R124" s="98">
        <f>SUM(F124:Q124)</f>
        <v>0</v>
      </c>
      <c r="S124" s="298"/>
      <c r="T124" s="277"/>
    </row>
    <row r="125" spans="1:20">
      <c r="A125" s="273" t="s">
        <v>74</v>
      </c>
      <c r="B125" s="274"/>
      <c r="C125" s="274"/>
      <c r="D125" s="275"/>
      <c r="E125" s="306"/>
      <c r="F125" s="295"/>
      <c r="G125" s="296"/>
      <c r="H125" s="296"/>
      <c r="I125" s="296"/>
      <c r="J125" s="296"/>
      <c r="K125" s="296"/>
      <c r="L125" s="296"/>
      <c r="M125" s="296"/>
      <c r="N125" s="296"/>
      <c r="O125" s="297"/>
      <c r="P125" s="297"/>
      <c r="Q125" s="297"/>
      <c r="R125" s="297"/>
      <c r="S125" s="297"/>
      <c r="T125" s="277"/>
    </row>
    <row r="126" spans="1:20" ht="37.5" customHeight="1">
      <c r="A126" s="232" t="str">
        <f>'COMUNIDAD Y CULTURA INSTITUCION'!B13</f>
        <v>Fortalecer el desarrollo de actividades de prevención de la enfermedad y de la promoción de los estilos de vida saludables y del autocuidado para estudiantes, docentes y personal administrativo.</v>
      </c>
      <c r="B126" s="45" t="str">
        <f>'COMUNIDAD Y CULTURA INSTITUCION'!D13</f>
        <v>ALTA
(100%)</v>
      </c>
      <c r="C126" s="98">
        <f>'COMUNIDAD Y CULTURA INSTITUCION'!AA13</f>
        <v>3159317792.3584003</v>
      </c>
      <c r="D126" s="292">
        <f>SUM(C126:C127)</f>
        <v>3238300737.1673603</v>
      </c>
      <c r="E126" s="306"/>
      <c r="F126" s="164"/>
      <c r="G126" s="200"/>
      <c r="H126" s="200"/>
      <c r="I126" s="200"/>
      <c r="J126" s="200">
        <f>C126/2</f>
        <v>1579658896.1792002</v>
      </c>
      <c r="K126" s="200"/>
      <c r="L126" s="200"/>
      <c r="M126" s="200"/>
      <c r="N126" s="200"/>
      <c r="O126" s="98"/>
      <c r="P126" s="98">
        <f>C126/2</f>
        <v>1579658896.1792002</v>
      </c>
      <c r="Q126" s="98"/>
      <c r="R126" s="98">
        <f>SUM(F126:Q126)</f>
        <v>3159317792.3584003</v>
      </c>
      <c r="S126" s="298">
        <f>SUM(R126:R127)</f>
        <v>3238300737.1673603</v>
      </c>
      <c r="T126" s="277"/>
    </row>
    <row r="127" spans="1:20" ht="37.5" customHeight="1">
      <c r="A127" s="232" t="str">
        <f>'COMUNIDAD Y CULTURA INSTITUCION'!B14</f>
        <v>Desarrollar actividades de promoción en salud y prevención de la enfermedad que contribuyan al mejoramiento de la calidad de vida y a la formación integral de la comunidad uteísta.</v>
      </c>
      <c r="B127" s="45" t="str">
        <f>'COMUNIDAD Y CULTURA INSTITUCION'!D14</f>
        <v>ALTA
(100%)</v>
      </c>
      <c r="C127" s="98">
        <f>'COMUNIDAD Y CULTURA INSTITUCION'!AA14</f>
        <v>78982944.808959991</v>
      </c>
      <c r="D127" s="294"/>
      <c r="E127" s="306"/>
      <c r="F127" s="164"/>
      <c r="G127" s="200"/>
      <c r="H127" s="200"/>
      <c r="I127" s="200"/>
      <c r="J127" s="200">
        <f>C127</f>
        <v>78982944.808959991</v>
      </c>
      <c r="K127" s="200"/>
      <c r="L127" s="200"/>
      <c r="M127" s="200"/>
      <c r="N127" s="200"/>
      <c r="O127" s="98"/>
      <c r="P127" s="98"/>
      <c r="Q127" s="98"/>
      <c r="R127" s="98">
        <f>SUM(F127:Q127)</f>
        <v>78982944.808959991</v>
      </c>
      <c r="S127" s="298"/>
      <c r="T127" s="277"/>
    </row>
    <row r="128" spans="1:20">
      <c r="A128" s="273" t="s">
        <v>75</v>
      </c>
      <c r="B128" s="274"/>
      <c r="C128" s="274"/>
      <c r="D128" s="275"/>
      <c r="E128" s="306"/>
      <c r="F128" s="295"/>
      <c r="G128" s="296"/>
      <c r="H128" s="296"/>
      <c r="I128" s="296"/>
      <c r="J128" s="296"/>
      <c r="K128" s="296"/>
      <c r="L128" s="296"/>
      <c r="M128" s="296"/>
      <c r="N128" s="296"/>
      <c r="O128" s="297"/>
      <c r="P128" s="297"/>
      <c r="Q128" s="297"/>
      <c r="R128" s="297"/>
      <c r="S128" s="297"/>
      <c r="T128" s="277"/>
    </row>
    <row r="129" spans="1:20" ht="38.25" customHeight="1">
      <c r="A129" s="232" t="str">
        <f>'COMUNIDAD Y CULTURA INSTITUCION'!B16</f>
        <v>Fortalecer el sistema de acompañamiento al estudiante en aspectos sociales, sicológicos y académicos que garantice su permanencia, retención, promoción y graduación.</v>
      </c>
      <c r="B129" s="45" t="str">
        <f>'COMUNIDAD Y CULTURA INSTITUCION'!D16</f>
        <v>ALTA
(100%)</v>
      </c>
      <c r="C129" s="98">
        <f>'COMUNIDAD Y CULTURA INSTITUCION'!AA16</f>
        <v>482880613.66272002</v>
      </c>
      <c r="D129" s="292">
        <f>SUM(C129:C131)</f>
        <v>896778282.51647997</v>
      </c>
      <c r="E129" s="306"/>
      <c r="F129" s="164"/>
      <c r="G129" s="200"/>
      <c r="H129" s="200"/>
      <c r="I129" s="200"/>
      <c r="J129" s="200"/>
      <c r="K129" s="200"/>
      <c r="L129" s="200"/>
      <c r="M129" s="200"/>
      <c r="N129" s="200"/>
      <c r="O129" s="98">
        <f>C129</f>
        <v>482880613.66272002</v>
      </c>
      <c r="P129" s="98"/>
      <c r="Q129" s="98"/>
      <c r="R129" s="98">
        <f>SUM(F129:Q129)</f>
        <v>482880613.66272002</v>
      </c>
      <c r="S129" s="298">
        <f>SUM(R129:R131)</f>
        <v>896778282.51647997</v>
      </c>
      <c r="T129" s="277"/>
    </row>
    <row r="130" spans="1:20" ht="45.75" customHeight="1">
      <c r="A130" s="232" t="str">
        <f>'COMUNIDAD Y CULTURA INSTITUCION'!B25</f>
        <v xml:space="preserve">Definir un sistema de caracterización de la comunidad Uteísta que cumpla con la ley de protección de datos personales y permita el acceso a programas y actividades institucionales conforme a las necesidades de la población. </v>
      </c>
      <c r="B130" s="45" t="str">
        <f>'COMUNIDAD Y CULTURA INSTITUCION'!D25</f>
        <v>ALTA
(90%)</v>
      </c>
      <c r="C130" s="98">
        <f>'COMUNIDAD Y CULTURA INSTITUCION'!AA25</f>
        <v>413897668.85376</v>
      </c>
      <c r="D130" s="293"/>
      <c r="E130" s="306"/>
      <c r="F130" s="164"/>
      <c r="G130" s="200"/>
      <c r="H130" s="200"/>
      <c r="I130" s="200"/>
      <c r="J130" s="200"/>
      <c r="K130" s="200">
        <f>C130</f>
        <v>413897668.85376</v>
      </c>
      <c r="L130" s="200"/>
      <c r="M130" s="200"/>
      <c r="N130" s="200"/>
      <c r="O130" s="98"/>
      <c r="P130" s="98"/>
      <c r="Q130" s="98"/>
      <c r="R130" s="98">
        <f>SUM(F130:Q130)</f>
        <v>413897668.85376</v>
      </c>
      <c r="S130" s="298"/>
      <c r="T130" s="277"/>
    </row>
    <row r="131" spans="1:20" ht="38.25" customHeight="1">
      <c r="A131" s="232" t="str">
        <f>'COMUNIDAD Y CULTURA INSTITUCION'!B27</f>
        <v>Fortalecer los mecanismos de divulgación de programas de bienestar orientados a la prevención de la deserción y a la promoción de la graduación de los estudiantes.</v>
      </c>
      <c r="B131" s="45" t="str">
        <f>'COMUNIDAD Y CULTURA INSTITUCION'!D27</f>
        <v>ALTA
(90%)</v>
      </c>
      <c r="C131" s="98">
        <f>'COMUNIDAD Y CULTURA INSTITUCION'!AA27</f>
        <v>0</v>
      </c>
      <c r="D131" s="294"/>
      <c r="E131" s="307"/>
      <c r="F131" s="164"/>
      <c r="G131" s="200"/>
      <c r="H131" s="200"/>
      <c r="I131" s="200"/>
      <c r="J131" s="200"/>
      <c r="K131" s="200"/>
      <c r="L131" s="200"/>
      <c r="M131" s="200"/>
      <c r="N131" s="200"/>
      <c r="O131" s="98"/>
      <c r="P131" s="98"/>
      <c r="Q131" s="98">
        <f>C131</f>
        <v>0</v>
      </c>
      <c r="R131" s="98">
        <f>SUM(F131:Q131)</f>
        <v>0</v>
      </c>
      <c r="S131" s="298"/>
      <c r="T131" s="278"/>
    </row>
    <row r="132" spans="1:20" ht="21" customHeight="1">
      <c r="A132" s="310" t="s">
        <v>29</v>
      </c>
      <c r="B132" s="310"/>
      <c r="C132" s="310"/>
      <c r="D132" s="310"/>
      <c r="E132" s="302"/>
      <c r="F132" s="203">
        <f>F134+F135+F137+F138+F139+F141</f>
        <v>0</v>
      </c>
      <c r="G132" s="204">
        <f t="shared" ref="G132:Q132" si="8">G134+G135+G137+G138+G139+G141</f>
        <v>0</v>
      </c>
      <c r="H132" s="204">
        <f t="shared" si="8"/>
        <v>0</v>
      </c>
      <c r="I132" s="204">
        <f t="shared" si="8"/>
        <v>0</v>
      </c>
      <c r="J132" s="204">
        <f t="shared" si="8"/>
        <v>0</v>
      </c>
      <c r="K132" s="204">
        <f t="shared" si="8"/>
        <v>394914724.04480004</v>
      </c>
      <c r="L132" s="204">
        <f t="shared" si="8"/>
        <v>0</v>
      </c>
      <c r="M132" s="204">
        <f t="shared" si="8"/>
        <v>0</v>
      </c>
      <c r="N132" s="204">
        <f t="shared" si="8"/>
        <v>551863558.47167993</v>
      </c>
      <c r="O132" s="204">
        <f t="shared" si="8"/>
        <v>0</v>
      </c>
      <c r="P132" s="204">
        <f t="shared" si="8"/>
        <v>0</v>
      </c>
      <c r="Q132" s="204">
        <f t="shared" si="8"/>
        <v>0</v>
      </c>
      <c r="R132" s="175"/>
      <c r="S132" s="175"/>
      <c r="T132" s="177"/>
    </row>
    <row r="133" spans="1:20">
      <c r="A133" s="273" t="s">
        <v>76</v>
      </c>
      <c r="B133" s="274"/>
      <c r="C133" s="274"/>
      <c r="D133" s="275"/>
      <c r="E133" s="300">
        <f>D134+D137+D141</f>
        <v>946778282.51647997</v>
      </c>
      <c r="F133" s="295"/>
      <c r="G133" s="296"/>
      <c r="H133" s="296"/>
      <c r="I133" s="296"/>
      <c r="J133" s="296"/>
      <c r="K133" s="296"/>
      <c r="L133" s="296"/>
      <c r="M133" s="296"/>
      <c r="N133" s="296"/>
      <c r="O133" s="297"/>
      <c r="P133" s="297"/>
      <c r="Q133" s="297"/>
      <c r="R133" s="297"/>
      <c r="S133" s="297"/>
      <c r="T133" s="276">
        <f>S134+S137+S141</f>
        <v>946778282.51647997</v>
      </c>
    </row>
    <row r="134" spans="1:20" ht="34.5" customHeight="1">
      <c r="A134" s="232" t="str">
        <f>'DIVERSIDAD E INCLUSIÓN'!B5</f>
        <v>Promover el respeto a la individualidad del educando y la interculturalidad de los mismos.</v>
      </c>
      <c r="B134" s="45" t="str">
        <f>'DIVERSIDAD E INCLUSIÓN'!D5</f>
        <v>MEDIA
(71%)</v>
      </c>
      <c r="C134" s="98">
        <f>'DIVERSIDAD E INCLUSIÓN'!AA5</f>
        <v>0</v>
      </c>
      <c r="D134" s="292">
        <f>SUM(C134:C135)</f>
        <v>551863558.47167993</v>
      </c>
      <c r="E134" s="301"/>
      <c r="F134" s="164"/>
      <c r="G134" s="200"/>
      <c r="H134" s="200"/>
      <c r="I134" s="200"/>
      <c r="J134" s="200"/>
      <c r="K134" s="200"/>
      <c r="L134" s="200"/>
      <c r="M134" s="200"/>
      <c r="N134" s="200"/>
      <c r="O134" s="98"/>
      <c r="P134" s="98"/>
      <c r="Q134" s="98">
        <f>C134</f>
        <v>0</v>
      </c>
      <c r="R134" s="98">
        <f>SUM(F134:Q134)</f>
        <v>0</v>
      </c>
      <c r="S134" s="298">
        <f>SUM(R134:R135)</f>
        <v>551863558.47167993</v>
      </c>
      <c r="T134" s="277"/>
    </row>
    <row r="135" spans="1:20" ht="34.5" customHeight="1">
      <c r="A135" s="232" t="str">
        <f>'DIVERSIDAD E INCLUSIÓN'!B7</f>
        <v>Diseñar e implementar programas de reconocimiento de la interculturalidad y el respeto por el otro.</v>
      </c>
      <c r="B135" s="45" t="str">
        <f>'DIVERSIDAD E INCLUSIÓN'!D7</f>
        <v>ALTA
(95%)</v>
      </c>
      <c r="C135" s="98">
        <f>'DIVERSIDAD E INCLUSIÓN'!AA7</f>
        <v>551863558.47167993</v>
      </c>
      <c r="D135" s="294"/>
      <c r="E135" s="301"/>
      <c r="F135" s="164"/>
      <c r="G135" s="200"/>
      <c r="H135" s="200"/>
      <c r="I135" s="200"/>
      <c r="J135" s="200"/>
      <c r="K135" s="200"/>
      <c r="L135" s="200"/>
      <c r="M135" s="200"/>
      <c r="N135" s="200">
        <f>C135</f>
        <v>551863558.47167993</v>
      </c>
      <c r="O135" s="98"/>
      <c r="P135" s="98"/>
      <c r="Q135" s="98"/>
      <c r="R135" s="98">
        <f>SUM(F135:Q135)</f>
        <v>551863558.47167993</v>
      </c>
      <c r="S135" s="298"/>
      <c r="T135" s="277"/>
    </row>
    <row r="136" spans="1:20">
      <c r="A136" s="273" t="s">
        <v>77</v>
      </c>
      <c r="B136" s="274"/>
      <c r="C136" s="274"/>
      <c r="D136" s="275"/>
      <c r="E136" s="301"/>
      <c r="F136" s="295"/>
      <c r="G136" s="296"/>
      <c r="H136" s="296"/>
      <c r="I136" s="296"/>
      <c r="J136" s="296"/>
      <c r="K136" s="296"/>
      <c r="L136" s="296"/>
      <c r="M136" s="296"/>
      <c r="N136" s="296"/>
      <c r="O136" s="297"/>
      <c r="P136" s="297"/>
      <c r="Q136" s="297"/>
      <c r="R136" s="297"/>
      <c r="S136" s="297"/>
      <c r="T136" s="277"/>
    </row>
    <row r="137" spans="1:20" ht="38.25" customHeight="1">
      <c r="A137" s="232" t="str">
        <f>'DIVERSIDAD E INCLUSIÓN'!B9</f>
        <v>Desarrollar acciones de sensibilización y concientización en asuntos de género, equidad, diversidad e inclusión para la comunidad Uteísta con el apoyo y participación de grupos de interés y entidades externas aliadas.</v>
      </c>
      <c r="B137" s="45" t="str">
        <f>'DIVERSIDAD E INCLUSIÓN'!D9</f>
        <v>ALTA
(88%)</v>
      </c>
      <c r="C137" s="98">
        <f>'DIVERSIDAD E INCLUSIÓN'!AA9</f>
        <v>0</v>
      </c>
      <c r="D137" s="292">
        <f>SUM(C137:C139)</f>
        <v>394914724.04480004</v>
      </c>
      <c r="E137" s="301"/>
      <c r="F137" s="164"/>
      <c r="G137" s="200"/>
      <c r="H137" s="200"/>
      <c r="I137" s="200"/>
      <c r="J137" s="200"/>
      <c r="K137" s="200"/>
      <c r="L137" s="200"/>
      <c r="M137" s="200"/>
      <c r="N137" s="200"/>
      <c r="O137" s="98"/>
      <c r="P137" s="98"/>
      <c r="Q137" s="98">
        <f>C137</f>
        <v>0</v>
      </c>
      <c r="R137" s="98">
        <f>SUM(F137:Q137)</f>
        <v>0</v>
      </c>
      <c r="S137" s="298">
        <f>SUM(R137:R139)</f>
        <v>394914724.04480004</v>
      </c>
      <c r="T137" s="277"/>
    </row>
    <row r="138" spans="1:20" ht="38.25" customHeight="1">
      <c r="A138" s="232" t="str">
        <f>'DIVERSIDAD E INCLUSIÓN'!B12</f>
        <v>Fortalecer  estrategias para la prevención y atención de violencias relacionadas con las diferencias de género.</v>
      </c>
      <c r="B138" s="45" t="str">
        <f>'DIVERSIDAD E INCLUSIÓN'!D12</f>
        <v>MEDIA
(77%)</v>
      </c>
      <c r="C138" s="98">
        <f>'DIVERSIDAD E INCLUSIÓN'!AA12</f>
        <v>0</v>
      </c>
      <c r="D138" s="293"/>
      <c r="E138" s="301"/>
      <c r="F138" s="164"/>
      <c r="G138" s="200"/>
      <c r="H138" s="200"/>
      <c r="I138" s="200"/>
      <c r="J138" s="200"/>
      <c r="K138" s="200"/>
      <c r="L138" s="200"/>
      <c r="M138" s="200"/>
      <c r="N138" s="200"/>
      <c r="O138" s="98"/>
      <c r="P138" s="98"/>
      <c r="Q138" s="98">
        <f>C138</f>
        <v>0</v>
      </c>
      <c r="R138" s="98">
        <f>SUM(F138:Q138)</f>
        <v>0</v>
      </c>
      <c r="S138" s="298"/>
      <c r="T138" s="277"/>
    </row>
    <row r="139" spans="1:20" ht="38.25" customHeight="1">
      <c r="A139" s="232" t="str">
        <f>'DIVERSIDAD E INCLUSIÓN'!B14</f>
        <v>Diseño e Implementación de un plan de acción para brindar acompañamiento en  procesos de educación inclusiva</v>
      </c>
      <c r="B139" s="45" t="str">
        <f>'DIVERSIDAD E INCLUSIÓN'!D14</f>
        <v>ALTA
(100%)</v>
      </c>
      <c r="C139" s="98">
        <f>'DIVERSIDAD E INCLUSIÓN'!AA14</f>
        <v>394914724.04480004</v>
      </c>
      <c r="D139" s="294"/>
      <c r="E139" s="301"/>
      <c r="F139" s="164"/>
      <c r="G139" s="200"/>
      <c r="H139" s="200"/>
      <c r="I139" s="200"/>
      <c r="J139" s="200"/>
      <c r="K139" s="200">
        <f>C139</f>
        <v>394914724.04480004</v>
      </c>
      <c r="L139" s="200"/>
      <c r="M139" s="200"/>
      <c r="N139" s="200"/>
      <c r="O139" s="98"/>
      <c r="P139" s="98"/>
      <c r="Q139" s="98"/>
      <c r="R139" s="98">
        <f>SUM(F139:Q139)</f>
        <v>394914724.04480004</v>
      </c>
      <c r="S139" s="298"/>
      <c r="T139" s="277"/>
    </row>
    <row r="140" spans="1:20">
      <c r="A140" s="273" t="s">
        <v>78</v>
      </c>
      <c r="B140" s="274"/>
      <c r="C140" s="274"/>
      <c r="D140" s="275"/>
      <c r="E140" s="301"/>
      <c r="F140" s="295"/>
      <c r="G140" s="296"/>
      <c r="H140" s="296"/>
      <c r="I140" s="296"/>
      <c r="J140" s="296"/>
      <c r="K140" s="296"/>
      <c r="L140" s="296"/>
      <c r="M140" s="296"/>
      <c r="N140" s="296"/>
      <c r="O140" s="297"/>
      <c r="P140" s="297"/>
      <c r="Q140" s="297"/>
      <c r="R140" s="297"/>
      <c r="S140" s="297"/>
      <c r="T140" s="277"/>
    </row>
    <row r="141" spans="1:20" ht="34.5" customHeight="1">
      <c r="A141" s="232" t="str">
        <f>'DIVERSIDAD E INCLUSIÓN'!B16</f>
        <v>Implementar un plan de inclusión social para la comunidad en situación de vulnerabilidad (mujeres, etnias, víctimas de conflicto armado, discapacitados entre otros).</v>
      </c>
      <c r="B141" s="45" t="str">
        <f>'DIVERSIDAD E INCLUSIÓN'!D16</f>
        <v>ALTA
(95%)</v>
      </c>
      <c r="C141" s="98">
        <f>'DIVERSIDAD E INCLUSIÓN'!AA16</f>
        <v>0</v>
      </c>
      <c r="D141" s="98">
        <f>C141</f>
        <v>0</v>
      </c>
      <c r="E141" s="304"/>
      <c r="F141" s="164"/>
      <c r="G141" s="200"/>
      <c r="H141" s="200"/>
      <c r="I141" s="200"/>
      <c r="J141" s="200"/>
      <c r="K141" s="200"/>
      <c r="L141" s="200"/>
      <c r="M141" s="200"/>
      <c r="N141" s="200"/>
      <c r="O141" s="98"/>
      <c r="P141" s="98"/>
      <c r="Q141" s="98">
        <f>C141</f>
        <v>0</v>
      </c>
      <c r="R141" s="98">
        <f>SUM(F141:Q141)</f>
        <v>0</v>
      </c>
      <c r="S141" s="98">
        <f>R141</f>
        <v>0</v>
      </c>
      <c r="T141" s="278"/>
    </row>
    <row r="142" spans="1:20" ht="24.75" customHeight="1">
      <c r="A142" s="308" t="s">
        <v>30</v>
      </c>
      <c r="B142" s="308"/>
      <c r="C142" s="308"/>
      <c r="D142" s="308"/>
      <c r="E142" s="309"/>
      <c r="F142" s="289"/>
      <c r="G142" s="290"/>
      <c r="H142" s="290"/>
      <c r="I142" s="290"/>
      <c r="J142" s="290"/>
      <c r="K142" s="290"/>
      <c r="L142" s="290"/>
      <c r="M142" s="290"/>
      <c r="N142" s="290"/>
      <c r="O142" s="290"/>
      <c r="P142" s="290"/>
      <c r="Q142" s="290"/>
      <c r="R142" s="290"/>
      <c r="S142" s="290"/>
      <c r="T142" s="291"/>
    </row>
    <row r="143" spans="1:20" ht="21" customHeight="1">
      <c r="A143" s="310" t="s">
        <v>31</v>
      </c>
      <c r="B143" s="310"/>
      <c r="C143" s="310"/>
      <c r="D143" s="310"/>
      <c r="E143" s="302"/>
      <c r="F143" s="203">
        <f>F145+F146+F147+F149+F150+F151+F152+F153+F155+F157+F158+F160</f>
        <v>0</v>
      </c>
      <c r="G143" s="204">
        <f t="shared" ref="G143:Q143" si="9">G145+G146+G147+G149+G150+G151+G152+G153+G155+G157+G158+G160</f>
        <v>0</v>
      </c>
      <c r="H143" s="204">
        <f t="shared" si="9"/>
        <v>0</v>
      </c>
      <c r="I143" s="204">
        <f t="shared" si="9"/>
        <v>0</v>
      </c>
      <c r="J143" s="204">
        <f t="shared" si="9"/>
        <v>3001351902.7404799</v>
      </c>
      <c r="K143" s="204">
        <f t="shared" si="9"/>
        <v>8688123928.9855995</v>
      </c>
      <c r="L143" s="204">
        <f t="shared" si="9"/>
        <v>0</v>
      </c>
      <c r="M143" s="204">
        <f t="shared" si="9"/>
        <v>0</v>
      </c>
      <c r="N143" s="204">
        <f t="shared" si="9"/>
        <v>0</v>
      </c>
      <c r="O143" s="204">
        <f t="shared" si="9"/>
        <v>0</v>
      </c>
      <c r="P143" s="204">
        <f t="shared" si="9"/>
        <v>0</v>
      </c>
      <c r="Q143" s="204">
        <f t="shared" si="9"/>
        <v>0</v>
      </c>
      <c r="R143" s="175"/>
      <c r="S143" s="175"/>
      <c r="T143" s="177"/>
    </row>
    <row r="144" spans="1:20">
      <c r="A144" s="273" t="s">
        <v>79</v>
      </c>
      <c r="B144" s="274"/>
      <c r="C144" s="274"/>
      <c r="D144" s="275"/>
      <c r="E144" s="300">
        <f>D145+D149+D155+D157+D160</f>
        <v>11689475831.72608</v>
      </c>
      <c r="F144" s="295"/>
      <c r="G144" s="296"/>
      <c r="H144" s="296"/>
      <c r="I144" s="296"/>
      <c r="J144" s="296"/>
      <c r="K144" s="296"/>
      <c r="L144" s="296"/>
      <c r="M144" s="296"/>
      <c r="N144" s="296"/>
      <c r="O144" s="297"/>
      <c r="P144" s="297"/>
      <c r="Q144" s="297"/>
      <c r="R144" s="297"/>
      <c r="S144" s="297"/>
      <c r="T144" s="276">
        <f>S145+S149+S155+S157+S160</f>
        <v>11689475831.72608</v>
      </c>
    </row>
    <row r="145" spans="1:20" ht="33" customHeight="1">
      <c r="A145" s="232" t="str">
        <f>'GOBERNABILIDAD Y GOBERNABILIDAD'!B5</f>
        <v>Crear e implementar una política de emprendimiento institucional que fortalezca la creatividad y productividad de la comunidad Uteísta.</v>
      </c>
      <c r="B145" s="174" t="str">
        <f>'GOBERNABILIDAD Y GOBERNABILIDAD'!D5</f>
        <v>ALTA 
(91%)</v>
      </c>
      <c r="C145" s="98">
        <f>'GOBERNABILIDAD Y GOBERNABILIDAD'!AA5</f>
        <v>0</v>
      </c>
      <c r="D145" s="298">
        <f>SUM(C145:C147)</f>
        <v>0</v>
      </c>
      <c r="E145" s="301"/>
      <c r="F145" s="162"/>
      <c r="G145" s="201"/>
      <c r="H145" s="201"/>
      <c r="I145" s="201"/>
      <c r="J145" s="201"/>
      <c r="K145" s="201"/>
      <c r="L145" s="201"/>
      <c r="M145" s="201"/>
      <c r="N145" s="201"/>
      <c r="O145" s="163"/>
      <c r="P145" s="163"/>
      <c r="Q145" s="98">
        <f>C145</f>
        <v>0</v>
      </c>
      <c r="R145" s="98">
        <f>SUM(F145:Q145)</f>
        <v>0</v>
      </c>
      <c r="S145" s="298">
        <f>SUM(R145:R147)</f>
        <v>0</v>
      </c>
      <c r="T145" s="277"/>
    </row>
    <row r="146" spans="1:20" ht="33" customHeight="1">
      <c r="A146" s="232" t="str">
        <f>'GOBERNABILIDAD Y GOBERNABILIDAD'!B7</f>
        <v>Crear e implementar una política que promueva el desarrollo sostenible de la institución.</v>
      </c>
      <c r="B146" s="174" t="str">
        <f>'GOBERNABILIDAD Y GOBERNABILIDAD'!D7</f>
        <v>ALTA 
(84%)</v>
      </c>
      <c r="C146" s="98">
        <f>'GOBERNABILIDAD Y GOBERNABILIDAD'!AA7</f>
        <v>0</v>
      </c>
      <c r="D146" s="298"/>
      <c r="E146" s="301"/>
      <c r="F146" s="162"/>
      <c r="G146" s="201"/>
      <c r="H146" s="201"/>
      <c r="I146" s="201"/>
      <c r="J146" s="201"/>
      <c r="K146" s="201"/>
      <c r="L146" s="201"/>
      <c r="M146" s="201"/>
      <c r="N146" s="201"/>
      <c r="O146" s="163"/>
      <c r="P146" s="163"/>
      <c r="Q146" s="98">
        <f>C146</f>
        <v>0</v>
      </c>
      <c r="R146" s="98">
        <f>SUM(F146:Q146)</f>
        <v>0</v>
      </c>
      <c r="S146" s="298"/>
      <c r="T146" s="277"/>
    </row>
    <row r="147" spans="1:20" ht="33" customHeight="1">
      <c r="A147" s="232" t="str">
        <f>'GOBERNABILIDAD Y GOBERNABILIDAD'!B9</f>
        <v>Fortalecer el modelo integrado de planeación y gestión con el objeto de transformar las UTS en una institución flexible, eficiente y efectiva.</v>
      </c>
      <c r="B147" s="174" t="str">
        <f>'GOBERNABILIDAD Y GOBERNABILIDAD'!D9</f>
        <v>ALTA 
(100%)</v>
      </c>
      <c r="C147" s="98">
        <f>'GOBERNABILIDAD Y GOBERNABILIDAD'!AA9</f>
        <v>0</v>
      </c>
      <c r="D147" s="298"/>
      <c r="E147" s="301"/>
      <c r="F147" s="162"/>
      <c r="G147" s="201"/>
      <c r="H147" s="201"/>
      <c r="I147" s="201"/>
      <c r="J147" s="201"/>
      <c r="K147" s="201"/>
      <c r="L147" s="201"/>
      <c r="M147" s="201"/>
      <c r="N147" s="201"/>
      <c r="O147" s="163"/>
      <c r="P147" s="163"/>
      <c r="Q147" s="98">
        <f>C147</f>
        <v>0</v>
      </c>
      <c r="R147" s="98">
        <f>SUM(F147:Q147)</f>
        <v>0</v>
      </c>
      <c r="S147" s="298"/>
      <c r="T147" s="277"/>
    </row>
    <row r="148" spans="1:20">
      <c r="A148" s="273" t="s">
        <v>80</v>
      </c>
      <c r="B148" s="274"/>
      <c r="C148" s="274"/>
      <c r="D148" s="275"/>
      <c r="E148" s="301"/>
      <c r="F148" s="280"/>
      <c r="G148" s="281"/>
      <c r="H148" s="281"/>
      <c r="I148" s="281"/>
      <c r="J148" s="281"/>
      <c r="K148" s="281"/>
      <c r="L148" s="281"/>
      <c r="M148" s="281"/>
      <c r="N148" s="281"/>
      <c r="O148" s="281"/>
      <c r="P148" s="281"/>
      <c r="Q148" s="281"/>
      <c r="R148" s="281"/>
      <c r="S148" s="282"/>
      <c r="T148" s="277"/>
    </row>
    <row r="149" spans="1:20" ht="48.75" customHeight="1">
      <c r="A149" s="232" t="str">
        <f>'GOBERNABILIDAD Y GOBERNABILIDAD'!B11</f>
        <v xml:space="preserve">Formular e implementar un plan de sostenibilidad social que promueva el comportamiento respetuoso, buenas prácticas en las relaciones con usuarios y proveedores, fomentando acciones que contribuyan con la inclusión, la equidad de género, la empleabilidad y la calidad de vida de la comunidad institucional.  </v>
      </c>
      <c r="B149" s="174" t="str">
        <f>'GOBERNABILIDAD Y GOBERNABILIDAD'!D11</f>
        <v>MEDIA 
(79%)</v>
      </c>
      <c r="C149" s="98">
        <f>'GOBERNABILIDAD Y GOBERNABILIDAD'!AA11</f>
        <v>0</v>
      </c>
      <c r="D149" s="292">
        <f>SUM(C149:C153)</f>
        <v>3001351902.7404799</v>
      </c>
      <c r="E149" s="301"/>
      <c r="F149" s="164"/>
      <c r="G149" s="200"/>
      <c r="H149" s="200"/>
      <c r="I149" s="200"/>
      <c r="J149" s="200"/>
      <c r="K149" s="200"/>
      <c r="L149" s="200"/>
      <c r="M149" s="200"/>
      <c r="N149" s="200"/>
      <c r="O149" s="98"/>
      <c r="P149" s="98"/>
      <c r="Q149" s="98">
        <f>C149</f>
        <v>0</v>
      </c>
      <c r="R149" s="98">
        <f>SUM(F149:Q149)</f>
        <v>0</v>
      </c>
      <c r="S149" s="292">
        <f>SUM(R149:R153)</f>
        <v>3001351902.7404799</v>
      </c>
      <c r="T149" s="277"/>
    </row>
    <row r="150" spans="1:20" ht="48.75" customHeight="1">
      <c r="A150" s="232" t="str">
        <f>'GOBERNABILIDAD Y GOBERNABILIDAD'!B13</f>
        <v>Fomentar una cultura organizacional enfocada en liderazgo, creatividad, competitividad, productividad y colaboración, que permita el desarrollo, crecimiento, cualificación y transformación del capital intelectual y el mejoramiento del  ambiente Institucional de las UTS.</v>
      </c>
      <c r="B150" s="174" t="str">
        <f>'GOBERNABILIDAD Y GOBERNABILIDAD'!D13</f>
        <v>ALTA 
(80%)</v>
      </c>
      <c r="C150" s="98">
        <f>'GOBERNABILIDAD Y GOBERNABILIDAD'!AA13</f>
        <v>0</v>
      </c>
      <c r="D150" s="293"/>
      <c r="E150" s="301"/>
      <c r="F150" s="164"/>
      <c r="G150" s="200"/>
      <c r="H150" s="200"/>
      <c r="I150" s="200"/>
      <c r="J150" s="200"/>
      <c r="K150" s="200"/>
      <c r="L150" s="200"/>
      <c r="M150" s="200"/>
      <c r="N150" s="200"/>
      <c r="O150" s="98"/>
      <c r="P150" s="98"/>
      <c r="Q150" s="98">
        <f>C150</f>
        <v>0</v>
      </c>
      <c r="R150" s="98">
        <f>SUM(F150:Q150)</f>
        <v>0</v>
      </c>
      <c r="S150" s="293"/>
      <c r="T150" s="277"/>
    </row>
    <row r="151" spans="1:20" ht="29.25" customHeight="1">
      <c r="A151" s="232" t="str">
        <f>'GOBERNABILIDAD Y GOBERNABILIDAD'!B14</f>
        <v>Estructurar procesos sistémicos para ser dinámicos y flexibles y evitar la complejidad de trámites.</v>
      </c>
      <c r="B151" s="174" t="str">
        <f>'GOBERNABILIDAD Y GOBERNABILIDAD'!D14</f>
        <v>MEDIA 
(74%)</v>
      </c>
      <c r="C151" s="98">
        <f>'GOBERNABILIDAD Y GOBERNABILIDAD'!AA14</f>
        <v>0</v>
      </c>
      <c r="D151" s="293"/>
      <c r="E151" s="301"/>
      <c r="F151" s="164"/>
      <c r="G151" s="200"/>
      <c r="H151" s="200"/>
      <c r="I151" s="200"/>
      <c r="J151" s="200"/>
      <c r="K151" s="200"/>
      <c r="L151" s="200"/>
      <c r="M151" s="200"/>
      <c r="N151" s="200"/>
      <c r="O151" s="98"/>
      <c r="P151" s="98"/>
      <c r="Q151" s="98">
        <f>C151</f>
        <v>0</v>
      </c>
      <c r="R151" s="98">
        <f>SUM(F151:Q151)</f>
        <v>0</v>
      </c>
      <c r="S151" s="293"/>
      <c r="T151" s="277"/>
    </row>
    <row r="152" spans="1:20" ht="39" customHeight="1">
      <c r="A152" s="232" t="str">
        <f>'GOBERNABILIDAD Y GOBERNABILIDAD'!B15</f>
        <v>Fortalecer el plan de capacitación para la comunidad Uteísta que incluya temáticas de diversidad e inclusión, enfoque de género, equidad, democracia, construcción de paz, resolución de conflictos, entre otras.</v>
      </c>
      <c r="B152" s="174" t="str">
        <f>'GOBERNABILIDAD Y GOBERNABILIDAD'!D15</f>
        <v>ALTA 
(84%)</v>
      </c>
      <c r="C152" s="98">
        <f>'GOBERNABILIDAD Y GOBERNABILIDAD'!AA15</f>
        <v>3001351902.7404799</v>
      </c>
      <c r="D152" s="293"/>
      <c r="E152" s="301"/>
      <c r="F152" s="164"/>
      <c r="G152" s="200"/>
      <c r="H152" s="200"/>
      <c r="I152" s="200"/>
      <c r="J152" s="200">
        <f>C152</f>
        <v>3001351902.7404799</v>
      </c>
      <c r="K152" s="200"/>
      <c r="L152" s="200"/>
      <c r="M152" s="200"/>
      <c r="N152" s="200"/>
      <c r="O152" s="98"/>
      <c r="P152" s="98"/>
      <c r="Q152" s="98"/>
      <c r="R152" s="98">
        <f>SUM(F152:Q152)</f>
        <v>3001351902.7404799</v>
      </c>
      <c r="S152" s="293"/>
      <c r="T152" s="277"/>
    </row>
    <row r="153" spans="1:20" ht="48.75" customHeight="1">
      <c r="A153" s="232" t="str">
        <f>'GOBERNABILIDAD Y GOBERNABILIDAD'!B16</f>
        <v>Fortalecer la arquitectura institucional que soporta las estrategias, planes y actividades propias del quehacer institucional para lograr articulación entre los diferentes procesos dando cumplimiento a las labores misionales.</v>
      </c>
      <c r="B153" s="174" t="str">
        <f>'GOBERNABILIDAD Y GOBERNABILIDAD'!D16</f>
        <v>ALTA 
(98%)</v>
      </c>
      <c r="C153" s="98">
        <f>'GOBERNABILIDAD Y GOBERNABILIDAD'!AA16</f>
        <v>0</v>
      </c>
      <c r="D153" s="294"/>
      <c r="E153" s="301"/>
      <c r="F153" s="164"/>
      <c r="G153" s="200"/>
      <c r="H153" s="200"/>
      <c r="I153" s="200"/>
      <c r="J153" s="200"/>
      <c r="K153" s="200"/>
      <c r="L153" s="200"/>
      <c r="M153" s="200"/>
      <c r="N153" s="200"/>
      <c r="O153" s="98"/>
      <c r="P153" s="98"/>
      <c r="Q153" s="98">
        <f>C153</f>
        <v>0</v>
      </c>
      <c r="R153" s="98">
        <f>SUM(F153:Q153)</f>
        <v>0</v>
      </c>
      <c r="S153" s="294"/>
      <c r="T153" s="277"/>
    </row>
    <row r="154" spans="1:20">
      <c r="A154" s="273" t="s">
        <v>81</v>
      </c>
      <c r="B154" s="274"/>
      <c r="C154" s="274"/>
      <c r="D154" s="275"/>
      <c r="E154" s="301"/>
      <c r="F154" s="280"/>
      <c r="G154" s="281"/>
      <c r="H154" s="281"/>
      <c r="I154" s="281"/>
      <c r="J154" s="281"/>
      <c r="K154" s="281"/>
      <c r="L154" s="281"/>
      <c r="M154" s="281"/>
      <c r="N154" s="281"/>
      <c r="O154" s="281"/>
      <c r="P154" s="281"/>
      <c r="Q154" s="281"/>
      <c r="R154" s="281"/>
      <c r="S154" s="282"/>
      <c r="T154" s="277"/>
    </row>
    <row r="155" spans="1:20" ht="48.75" customHeight="1">
      <c r="A155" s="232" t="str">
        <f>'GOBERNABILIDAD Y GOBERNABILIDAD'!B19</f>
        <v>Fortalecer la representación de estudiantes, docentes, administrativos y graduados en el modelo de gobernanza de las UTS proporcionándoles  orientación o capacitación en los procesos institucionales y tendencias nacionales sobre educación.</v>
      </c>
      <c r="B155" s="174" t="str">
        <f>'GOBERNABILIDAD Y GOBERNABILIDAD'!D19</f>
        <v>ALTA 
(80%)</v>
      </c>
      <c r="C155" s="98">
        <f>'GOBERNABILIDAD Y GOBERNABILIDAD'!AA19</f>
        <v>0</v>
      </c>
      <c r="D155" s="98">
        <f>SUM(C155:C155)</f>
        <v>0</v>
      </c>
      <c r="E155" s="301"/>
      <c r="F155" s="164"/>
      <c r="G155" s="200"/>
      <c r="H155" s="200"/>
      <c r="I155" s="200"/>
      <c r="J155" s="200"/>
      <c r="K155" s="200"/>
      <c r="L155" s="200"/>
      <c r="M155" s="200"/>
      <c r="N155" s="200"/>
      <c r="O155" s="98"/>
      <c r="P155" s="98"/>
      <c r="Q155" s="98">
        <f>C155</f>
        <v>0</v>
      </c>
      <c r="R155" s="98">
        <f>SUM(F155:Q155)</f>
        <v>0</v>
      </c>
      <c r="S155" s="98">
        <f>SUM(R155)</f>
        <v>0</v>
      </c>
      <c r="T155" s="277"/>
    </row>
    <row r="156" spans="1:20">
      <c r="A156" s="273" t="s">
        <v>82</v>
      </c>
      <c r="B156" s="274"/>
      <c r="C156" s="274"/>
      <c r="D156" s="275"/>
      <c r="E156" s="301"/>
      <c r="F156" s="280"/>
      <c r="G156" s="281"/>
      <c r="H156" s="281"/>
      <c r="I156" s="281"/>
      <c r="J156" s="281"/>
      <c r="K156" s="281"/>
      <c r="L156" s="281"/>
      <c r="M156" s="281"/>
      <c r="N156" s="281"/>
      <c r="O156" s="281"/>
      <c r="P156" s="281"/>
      <c r="Q156" s="281"/>
      <c r="R156" s="281"/>
      <c r="S156" s="282"/>
      <c r="T156" s="277"/>
    </row>
    <row r="157" spans="1:20" ht="50.25" customHeight="1">
      <c r="A157" s="232" t="str">
        <f>'GOBERNABILIDAD Y GOBERNABILIDAD'!B20</f>
        <v>Fortalecer lineamientos de transparencia, con el fin de informar y explicar los avances y resultados de la gestión realizada a través de un diálogo público en el cual participe cada uno de los líderes de los procesos, como productores de la información en sus diferentes niveles: estratégicos, misionales y de apoyo.</v>
      </c>
      <c r="B157" s="174" t="str">
        <f>'GOBERNABILIDAD Y GOBERNABILIDAD'!D20</f>
        <v>ALTA 
(80%)</v>
      </c>
      <c r="C157" s="98">
        <f>'GOBERNABILIDAD Y GOBERNABILIDAD'!AA20</f>
        <v>0</v>
      </c>
      <c r="D157" s="298">
        <f>SUM(C157:C158)</f>
        <v>0</v>
      </c>
      <c r="E157" s="301"/>
      <c r="F157" s="164"/>
      <c r="G157" s="200"/>
      <c r="H157" s="200"/>
      <c r="I157" s="200"/>
      <c r="J157" s="200"/>
      <c r="K157" s="200"/>
      <c r="L157" s="200"/>
      <c r="M157" s="200"/>
      <c r="N157" s="200"/>
      <c r="O157" s="98"/>
      <c r="P157" s="98"/>
      <c r="Q157" s="98">
        <f>C157</f>
        <v>0</v>
      </c>
      <c r="R157" s="98">
        <f>SUM(F157:Q157)</f>
        <v>0</v>
      </c>
      <c r="S157" s="292">
        <f>SUM(R157:R158)</f>
        <v>0</v>
      </c>
      <c r="T157" s="277"/>
    </row>
    <row r="158" spans="1:20" ht="36" customHeight="1">
      <c r="A158" s="232" t="str">
        <f>'GOBERNABILIDAD Y GOBERNABILIDAD'!B22</f>
        <v>Generar espacios y encuentros presenciales y virtuales para lograr una efectiva apropiación del código de integridad institucional.</v>
      </c>
      <c r="B158" s="174" t="str">
        <f>'GOBERNABILIDAD Y GOBERNABILIDAD'!D22</f>
        <v>ALTA 
(80%)</v>
      </c>
      <c r="C158" s="98">
        <f>'GOBERNABILIDAD Y GOBERNABILIDAD'!AA22</f>
        <v>0</v>
      </c>
      <c r="D158" s="298"/>
      <c r="E158" s="301"/>
      <c r="F158" s="164"/>
      <c r="G158" s="200"/>
      <c r="H158" s="200"/>
      <c r="I158" s="200"/>
      <c r="J158" s="200"/>
      <c r="K158" s="200"/>
      <c r="L158" s="200"/>
      <c r="M158" s="200"/>
      <c r="N158" s="200"/>
      <c r="O158" s="98"/>
      <c r="P158" s="98"/>
      <c r="Q158" s="98">
        <f>C158</f>
        <v>0</v>
      </c>
      <c r="R158" s="98">
        <f>SUM(F158:Q158)</f>
        <v>0</v>
      </c>
      <c r="S158" s="294"/>
      <c r="T158" s="277"/>
    </row>
    <row r="159" spans="1:20">
      <c r="A159" s="273" t="s">
        <v>83</v>
      </c>
      <c r="B159" s="274"/>
      <c r="C159" s="274"/>
      <c r="D159" s="275"/>
      <c r="E159" s="301"/>
      <c r="F159" s="280"/>
      <c r="G159" s="281"/>
      <c r="H159" s="281"/>
      <c r="I159" s="281"/>
      <c r="J159" s="281"/>
      <c r="K159" s="281"/>
      <c r="L159" s="281"/>
      <c r="M159" s="281"/>
      <c r="N159" s="281"/>
      <c r="O159" s="281"/>
      <c r="P159" s="281"/>
      <c r="Q159" s="281"/>
      <c r="R159" s="281"/>
      <c r="S159" s="282"/>
      <c r="T159" s="277"/>
    </row>
    <row r="160" spans="1:20" ht="47.25" customHeight="1">
      <c r="A160" s="232" t="str">
        <f>'GOBERNABILIDAD Y GOBERNABILIDAD'!B23</f>
        <v xml:space="preserve">Fortalecer estrategias de comunicación que visibilicen el resultado de la gestión de la educación de calidad impartida, con la finalidad de posicionar a la institución en el ámbito regional y nacional, a su vez incrementar y estabilizar el número de matriculados de forma que se contribuya a la sostenibilidad financiera de las UTS. </v>
      </c>
      <c r="B160" s="174" t="str">
        <f>'GOBERNABILIDAD Y GOBERNABILIDAD'!D23</f>
        <v>ALTA 
(80%)</v>
      </c>
      <c r="C160" s="98">
        <f>'GOBERNABILIDAD Y GOBERNABILIDAD'!AA23</f>
        <v>8688123928.9855995</v>
      </c>
      <c r="D160" s="98">
        <f>SUM(C160:C160)</f>
        <v>8688123928.9855995</v>
      </c>
      <c r="E160" s="301"/>
      <c r="F160" s="164"/>
      <c r="G160" s="200"/>
      <c r="H160" s="200"/>
      <c r="I160" s="200"/>
      <c r="J160" s="200"/>
      <c r="K160" s="200">
        <f>C160</f>
        <v>8688123928.9855995</v>
      </c>
      <c r="L160" s="200"/>
      <c r="M160" s="200"/>
      <c r="N160" s="200"/>
      <c r="O160" s="98"/>
      <c r="P160" s="98"/>
      <c r="Q160" s="98"/>
      <c r="R160" s="98">
        <f>SUM(F160:Q160)</f>
        <v>8688123928.9855995</v>
      </c>
      <c r="S160" s="101">
        <f>SUM(R160:R160)</f>
        <v>8688123928.9855995</v>
      </c>
      <c r="T160" s="277"/>
    </row>
    <row r="161" spans="1:20" ht="24.75" customHeight="1">
      <c r="A161" s="157"/>
      <c r="B161" s="157"/>
      <c r="C161" s="157"/>
      <c r="D161" s="157"/>
      <c r="E161" s="173"/>
      <c r="F161" s="289"/>
      <c r="G161" s="290"/>
      <c r="H161" s="290"/>
      <c r="I161" s="290"/>
      <c r="J161" s="290"/>
      <c r="K161" s="290"/>
      <c r="L161" s="290"/>
      <c r="M161" s="290"/>
      <c r="N161" s="290"/>
      <c r="O161" s="290"/>
      <c r="P161" s="290"/>
      <c r="Q161" s="290"/>
      <c r="R161" s="290"/>
      <c r="S161" s="290"/>
      <c r="T161" s="291"/>
    </row>
    <row r="162" spans="1:20" ht="21" customHeight="1">
      <c r="A162" s="302" t="s">
        <v>32</v>
      </c>
      <c r="B162" s="303"/>
      <c r="C162" s="303"/>
      <c r="D162" s="303"/>
      <c r="E162" s="303"/>
      <c r="F162" s="203">
        <f>F164+F165+F167+F169+F170</f>
        <v>0</v>
      </c>
      <c r="G162" s="204">
        <f t="shared" ref="G162:P162" si="10">G164+G165+G167+G169+G170</f>
        <v>0</v>
      </c>
      <c r="H162" s="204">
        <f t="shared" si="10"/>
        <v>0</v>
      </c>
      <c r="I162" s="204">
        <f t="shared" si="10"/>
        <v>0</v>
      </c>
      <c r="J162" s="204">
        <f t="shared" si="10"/>
        <v>0</v>
      </c>
      <c r="K162" s="204">
        <f t="shared" si="10"/>
        <v>4804840872.6364155</v>
      </c>
      <c r="L162" s="204">
        <f t="shared" si="10"/>
        <v>0</v>
      </c>
      <c r="M162" s="204">
        <f t="shared" si="10"/>
        <v>0</v>
      </c>
      <c r="N162" s="204">
        <f t="shared" si="10"/>
        <v>0</v>
      </c>
      <c r="O162" s="204">
        <f t="shared" si="10"/>
        <v>0</v>
      </c>
      <c r="P162" s="204">
        <f t="shared" si="10"/>
        <v>0</v>
      </c>
      <c r="Q162" s="204">
        <f>Q164+Q165+Q167+Q169+Q170</f>
        <v>0</v>
      </c>
      <c r="R162" s="175"/>
      <c r="S162" s="175"/>
      <c r="T162" s="176"/>
    </row>
    <row r="163" spans="1:20">
      <c r="A163" s="273" t="s">
        <v>84</v>
      </c>
      <c r="B163" s="274"/>
      <c r="C163" s="274"/>
      <c r="D163" s="275"/>
      <c r="E163" s="300">
        <f>D164+D167+D169</f>
        <v>4804840872.6364155</v>
      </c>
      <c r="F163" s="295"/>
      <c r="G163" s="296"/>
      <c r="H163" s="296"/>
      <c r="I163" s="296"/>
      <c r="J163" s="296"/>
      <c r="K163" s="296"/>
      <c r="L163" s="296"/>
      <c r="M163" s="296"/>
      <c r="N163" s="296"/>
      <c r="O163" s="297"/>
      <c r="P163" s="297"/>
      <c r="Q163" s="297"/>
      <c r="R163" s="297"/>
      <c r="S163" s="297"/>
      <c r="T163" s="276">
        <f>S164+S167+S169</f>
        <v>4804840872.6364155</v>
      </c>
    </row>
    <row r="164" spans="1:20" ht="50.25" customHeight="1">
      <c r="A164" s="232" t="str">
        <f>DESARROLLOGESTIÓNSOSTENIBILIDAD!B5</f>
        <v xml:space="preserve">Formular e implementar un plan de sostenibilidad financiera, que proyecte una estabilidad presupuestal en el mediano y largo plazo, capaz de financiar compromisos académicos, investigativos y administrativos; de gastos presentes y futuros bajo el contexto del déficit y la deuda pública. </v>
      </c>
      <c r="B164" s="45" t="str">
        <f>DESARROLLOGESTIÓNSOSTENIBILIDAD!D5</f>
        <v xml:space="preserve">ALTA
(84%)
</v>
      </c>
      <c r="C164" s="98">
        <f>DESARROLLOGESTIÓNSOSTENIBILIDAD!AA5</f>
        <v>0</v>
      </c>
      <c r="D164" s="292">
        <f>SUM(C164:C165)</f>
        <v>0</v>
      </c>
      <c r="E164" s="301"/>
      <c r="F164" s="208"/>
      <c r="G164" s="209"/>
      <c r="H164" s="209"/>
      <c r="I164" s="209"/>
      <c r="J164" s="209"/>
      <c r="K164" s="209"/>
      <c r="L164" s="209"/>
      <c r="M164" s="209"/>
      <c r="N164" s="209"/>
      <c r="O164" s="129"/>
      <c r="P164" s="129"/>
      <c r="Q164" s="129">
        <f>C164</f>
        <v>0</v>
      </c>
      <c r="R164" s="129">
        <f>SUM(F164:Q164)</f>
        <v>0</v>
      </c>
      <c r="S164" s="294">
        <f>SUM(R164:R165)</f>
        <v>0</v>
      </c>
      <c r="T164" s="277"/>
    </row>
    <row r="165" spans="1:20" ht="36" customHeight="1">
      <c r="A165" s="232" t="str">
        <f>DESARROLLOGESTIÓNSOSTENIBILIDAD!B10</f>
        <v>Fortalecer fuentes de financiación institucional, diversificación  de los ingresos y racionalización del gasto  con el fin de apoyar procesos académicos y administrativos de calidad.</v>
      </c>
      <c r="B165" s="45" t="str">
        <f>DESARROLLOGESTIÓNSOSTENIBILIDAD!D10</f>
        <v>MEDIA
(77%)</v>
      </c>
      <c r="C165" s="98">
        <f>DESARROLLOGESTIÓNSOSTENIBILIDAD!AA10</f>
        <v>0</v>
      </c>
      <c r="D165" s="294"/>
      <c r="E165" s="301"/>
      <c r="F165" s="164"/>
      <c r="G165" s="200"/>
      <c r="H165" s="200"/>
      <c r="I165" s="200"/>
      <c r="J165" s="200"/>
      <c r="K165" s="200"/>
      <c r="L165" s="200"/>
      <c r="M165" s="200"/>
      <c r="N165" s="200"/>
      <c r="O165" s="98"/>
      <c r="P165" s="98"/>
      <c r="Q165" s="129">
        <f>C165</f>
        <v>0</v>
      </c>
      <c r="R165" s="98">
        <f>SUM(F165:Q165)</f>
        <v>0</v>
      </c>
      <c r="S165" s="298"/>
      <c r="T165" s="277"/>
    </row>
    <row r="166" spans="1:20">
      <c r="A166" s="273" t="s">
        <v>85</v>
      </c>
      <c r="B166" s="274"/>
      <c r="C166" s="274"/>
      <c r="D166" s="275"/>
      <c r="E166" s="301"/>
      <c r="F166" s="295"/>
      <c r="G166" s="296"/>
      <c r="H166" s="296"/>
      <c r="I166" s="296"/>
      <c r="J166" s="296"/>
      <c r="K166" s="296"/>
      <c r="L166" s="296"/>
      <c r="M166" s="296"/>
      <c r="N166" s="296"/>
      <c r="O166" s="297"/>
      <c r="P166" s="297"/>
      <c r="Q166" s="297"/>
      <c r="R166" s="297"/>
      <c r="S166" s="297"/>
      <c r="T166" s="277"/>
    </row>
    <row r="167" spans="1:20" ht="50.25" customHeight="1">
      <c r="A167" s="232" t="str">
        <f>DESARROLLOGESTIÓNSOSTENIBILIDAD!B11</f>
        <v>Implementar el plan de sostenibilidad ambiental con todos los actores de la comunidad Uteísta, de forma que se asuma el reto para fomentar la cultura verde en la institución en procura de lograr espacios amigables con el medio ambiente.</v>
      </c>
      <c r="B167" s="45" t="str">
        <f>DESARROLLOGESTIÓNSOSTENIBILIDAD!D11</f>
        <v>MEDIA
(77%)</v>
      </c>
      <c r="C167" s="98">
        <f>DESARROLLOGESTIÓNSOSTENIBILIDAD!AA11</f>
        <v>165864184.09881598</v>
      </c>
      <c r="D167" s="98">
        <f>C167</f>
        <v>165864184.09881598</v>
      </c>
      <c r="E167" s="301"/>
      <c r="F167" s="164"/>
      <c r="G167" s="200"/>
      <c r="H167" s="200"/>
      <c r="I167" s="200"/>
      <c r="J167" s="200"/>
      <c r="K167" s="200">
        <f>C167</f>
        <v>165864184.09881598</v>
      </c>
      <c r="L167" s="200"/>
      <c r="M167" s="200"/>
      <c r="N167" s="200"/>
      <c r="O167" s="98"/>
      <c r="P167" s="98"/>
      <c r="Q167" s="98"/>
      <c r="R167" s="98">
        <f>SUM(F167:Q167)</f>
        <v>165864184.09881598</v>
      </c>
      <c r="S167" s="98">
        <f>R167</f>
        <v>165864184.09881598</v>
      </c>
      <c r="T167" s="277"/>
    </row>
    <row r="168" spans="1:20">
      <c r="A168" s="273" t="s">
        <v>86</v>
      </c>
      <c r="B168" s="274"/>
      <c r="C168" s="274"/>
      <c r="D168" s="275"/>
      <c r="E168" s="301"/>
      <c r="F168" s="295"/>
      <c r="G168" s="296"/>
      <c r="H168" s="296"/>
      <c r="I168" s="296"/>
      <c r="J168" s="296"/>
      <c r="K168" s="296"/>
      <c r="L168" s="296"/>
      <c r="M168" s="296"/>
      <c r="N168" s="296"/>
      <c r="O168" s="297"/>
      <c r="P168" s="297"/>
      <c r="Q168" s="297"/>
      <c r="R168" s="297"/>
      <c r="S168" s="297"/>
      <c r="T168" s="277"/>
    </row>
    <row r="169" spans="1:20" ht="36.75" customHeight="1">
      <c r="A169" s="232" t="str">
        <f>DESARROLLOGESTIÓNSOSTENIBILIDAD!B14</f>
        <v>Fortalecer el bienestar social  y el desarrollo integral en correspondencia con el modelo de gobernanza UteÍsta, extendida a la comunidad Institucional.</v>
      </c>
      <c r="B169" s="45" t="str">
        <f>DESARROLLOGESTIÓNSOSTENIBILIDAD!D14</f>
        <v>ALTA
(81%)</v>
      </c>
      <c r="C169" s="98">
        <f>DESARROLLOGESTIÓNSOSTENIBILIDAD!AA14</f>
        <v>3949147240.448</v>
      </c>
      <c r="D169" s="298">
        <f>SUM(C169:C170)</f>
        <v>4638976688.5375996</v>
      </c>
      <c r="E169" s="301"/>
      <c r="F169" s="164"/>
      <c r="G169" s="200"/>
      <c r="H169" s="200"/>
      <c r="I169" s="200"/>
      <c r="J169" s="200"/>
      <c r="K169" s="200">
        <f>C169</f>
        <v>3949147240.448</v>
      </c>
      <c r="L169" s="200"/>
      <c r="M169" s="200"/>
      <c r="N169" s="200"/>
      <c r="O169" s="98"/>
      <c r="P169" s="98"/>
      <c r="Q169" s="98"/>
      <c r="R169" s="98">
        <f>SUM(F169:Q169)</f>
        <v>3949147240.448</v>
      </c>
      <c r="S169" s="298">
        <f>SUM(R169:R170)</f>
        <v>4638976688.5375996</v>
      </c>
      <c r="T169" s="277"/>
    </row>
    <row r="170" spans="1:20" ht="36.75" customHeight="1">
      <c r="A170" s="232" t="str">
        <f>DESARROLLOGESTIÓNSOSTENIBILIDAD!B15</f>
        <v>Crear  un programa de responsabilidad social que aporte a la gestión organizacional de la institución y su entorno.</v>
      </c>
      <c r="B170" s="45" t="str">
        <f>DESARROLLOGESTIÓNSOSTENIBILIDAD!D15</f>
        <v>ALTA
(86%)</v>
      </c>
      <c r="C170" s="98">
        <f>DESARROLLOGESTIÓNSOSTENIBILIDAD!AA15</f>
        <v>689829448.08960009</v>
      </c>
      <c r="D170" s="298"/>
      <c r="E170" s="304"/>
      <c r="F170" s="164"/>
      <c r="G170" s="200"/>
      <c r="H170" s="200"/>
      <c r="I170" s="200"/>
      <c r="J170" s="200"/>
      <c r="K170" s="200">
        <f>C170</f>
        <v>689829448.08960009</v>
      </c>
      <c r="L170" s="200"/>
      <c r="M170" s="200"/>
      <c r="N170" s="200"/>
      <c r="O170" s="98"/>
      <c r="P170" s="98"/>
      <c r="Q170" s="98"/>
      <c r="R170" s="98">
        <f>SUM(F170:Q170)</f>
        <v>689829448.08960009</v>
      </c>
      <c r="S170" s="298"/>
      <c r="T170" s="278"/>
    </row>
    <row r="171" spans="1:20" ht="21" customHeight="1">
      <c r="A171" s="158" t="s">
        <v>33</v>
      </c>
      <c r="B171" s="158"/>
      <c r="C171" s="158"/>
      <c r="D171" s="158"/>
      <c r="E171" s="161"/>
      <c r="F171" s="203">
        <f>F173+F174+F176+F177+F178+F179+F180+F182+F183+F185+F186</f>
        <v>2947403068.3136001</v>
      </c>
      <c r="G171" s="204">
        <f t="shared" ref="G171:Q171" si="11">G173+G174+G176+G177+G178+G179+G180+G182+G183+G185+G186</f>
        <v>0</v>
      </c>
      <c r="H171" s="204">
        <f t="shared" si="11"/>
        <v>0</v>
      </c>
      <c r="I171" s="204">
        <f t="shared" si="11"/>
        <v>0</v>
      </c>
      <c r="J171" s="204">
        <f t="shared" si="11"/>
        <v>0</v>
      </c>
      <c r="K171" s="204">
        <f t="shared" si="11"/>
        <v>9253977353.8295803</v>
      </c>
      <c r="L171" s="204">
        <f t="shared" si="11"/>
        <v>0</v>
      </c>
      <c r="M171" s="204">
        <f t="shared" si="11"/>
        <v>0</v>
      </c>
      <c r="N171" s="204">
        <f t="shared" si="11"/>
        <v>0</v>
      </c>
      <c r="O171" s="204">
        <f t="shared" si="11"/>
        <v>0</v>
      </c>
      <c r="P171" s="204">
        <f t="shared" si="11"/>
        <v>0</v>
      </c>
      <c r="Q171" s="204">
        <f t="shared" si="11"/>
        <v>0</v>
      </c>
      <c r="R171" s="175"/>
      <c r="S171" s="175"/>
      <c r="T171" s="177"/>
    </row>
    <row r="172" spans="1:20">
      <c r="A172" s="273" t="s">
        <v>87</v>
      </c>
      <c r="B172" s="274"/>
      <c r="C172" s="274"/>
      <c r="D172" s="275"/>
      <c r="E172" s="299">
        <f>D173+D176+D182+D185</f>
        <v>12201380422.143181</v>
      </c>
      <c r="F172" s="295"/>
      <c r="G172" s="296"/>
      <c r="H172" s="296"/>
      <c r="I172" s="296"/>
      <c r="J172" s="296"/>
      <c r="K172" s="296"/>
      <c r="L172" s="296"/>
      <c r="M172" s="296"/>
      <c r="N172" s="296"/>
      <c r="O172" s="297"/>
      <c r="P172" s="297"/>
      <c r="Q172" s="297"/>
      <c r="R172" s="297"/>
      <c r="S172" s="297"/>
      <c r="T172" s="276">
        <f>S173+S176+S182+S185</f>
        <v>12201380422.143181</v>
      </c>
    </row>
    <row r="173" spans="1:20" ht="33" customHeight="1">
      <c r="A173" s="232" t="str">
        <f>'GESTIÓN INTEGRAL INSTITUCIONAL'!B5</f>
        <v>Sensibilizar a la comunidad Uteísta en temas propios de cada área de gestión que fomenten la cultura de planear, hacer, verificar y actuar en pro del mejoramiento continuo de la institución.</v>
      </c>
      <c r="B173" s="45" t="str">
        <f>'GESTIÓN INTEGRAL INSTITUCIONAL'!D5</f>
        <v>MEDIA
(79%)</v>
      </c>
      <c r="C173" s="98">
        <f>'GESTIÓN INTEGRAL INSTITUCIONAL'!AA5</f>
        <v>0</v>
      </c>
      <c r="D173" s="298">
        <f>SUM(C173:C174)</f>
        <v>164284525.20263678</v>
      </c>
      <c r="E173" s="299"/>
      <c r="F173" s="164"/>
      <c r="G173" s="200"/>
      <c r="H173" s="200"/>
      <c r="I173" s="200"/>
      <c r="J173" s="200"/>
      <c r="K173" s="200"/>
      <c r="L173" s="200"/>
      <c r="M173" s="200"/>
      <c r="N173" s="200"/>
      <c r="O173" s="98"/>
      <c r="P173" s="98"/>
      <c r="Q173" s="98"/>
      <c r="R173" s="98">
        <f>SUM(F173:Q173)</f>
        <v>0</v>
      </c>
      <c r="S173" s="298">
        <f>SUM(R173:R174)</f>
        <v>164284525.20263678</v>
      </c>
      <c r="T173" s="277"/>
    </row>
    <row r="174" spans="1:20" ht="33.75" customHeight="1">
      <c r="A174" s="232" t="str">
        <f>'GESTIÓN INTEGRAL INSTITUCIONAL'!B6</f>
        <v xml:space="preserve">Fomentar el conocimiento, apropiación y sentido de pertenencia de la comunidad Uteísta en los diferentes sistemas integrados de gestión. </v>
      </c>
      <c r="B174" s="45" t="str">
        <f>'GESTIÓN INTEGRAL INSTITUCIONAL'!D6</f>
        <v>BAJA
(54%</v>
      </c>
      <c r="C174" s="98">
        <f>'GESTIÓN INTEGRAL INSTITUCIONAL'!AA6</f>
        <v>164284525.20263678</v>
      </c>
      <c r="D174" s="298"/>
      <c r="E174" s="299"/>
      <c r="F174" s="164"/>
      <c r="G174" s="200"/>
      <c r="H174" s="200"/>
      <c r="I174" s="200"/>
      <c r="J174" s="200"/>
      <c r="K174" s="200">
        <f>C174</f>
        <v>164284525.20263678</v>
      </c>
      <c r="L174" s="200"/>
      <c r="M174" s="200"/>
      <c r="N174" s="200"/>
      <c r="O174" s="98"/>
      <c r="P174" s="98"/>
      <c r="Q174" s="98"/>
      <c r="R174" s="98">
        <f>SUM(F174:Q174)</f>
        <v>164284525.20263678</v>
      </c>
      <c r="S174" s="298"/>
      <c r="T174" s="277"/>
    </row>
    <row r="175" spans="1:20">
      <c r="A175" s="273" t="s">
        <v>88</v>
      </c>
      <c r="B175" s="274"/>
      <c r="C175" s="274"/>
      <c r="D175" s="275"/>
      <c r="E175" s="299"/>
      <c r="F175" s="295"/>
      <c r="G175" s="296"/>
      <c r="H175" s="296"/>
      <c r="I175" s="296"/>
      <c r="J175" s="296"/>
      <c r="K175" s="296"/>
      <c r="L175" s="296"/>
      <c r="M175" s="296"/>
      <c r="N175" s="296"/>
      <c r="O175" s="297"/>
      <c r="P175" s="297"/>
      <c r="Q175" s="297"/>
      <c r="R175" s="297"/>
      <c r="S175" s="297"/>
      <c r="T175" s="277"/>
    </row>
    <row r="176" spans="1:20" ht="34.5" customHeight="1">
      <c r="A176" s="232" t="str">
        <f>'GESTIÓN INTEGRAL INSTITUCIONAL'!B8</f>
        <v>Fortalecimiento  del sistema de gestión de seguridad y salud en el trabajo.</v>
      </c>
      <c r="B176" s="45" t="str">
        <f>'GESTIÓN INTEGRAL INSTITUCIONAL'!D8</f>
        <v>ALTA
(88%)</v>
      </c>
      <c r="C176" s="98">
        <f>'GESTIÓN INTEGRAL INSTITUCIONAL'!AA8</f>
        <v>3244483495.5264006</v>
      </c>
      <c r="D176" s="298">
        <f>SUM(C176:C180)</f>
        <v>10307437000.761345</v>
      </c>
      <c r="E176" s="299"/>
      <c r="F176" s="164"/>
      <c r="G176" s="200"/>
      <c r="H176" s="200"/>
      <c r="I176" s="200"/>
      <c r="J176" s="200"/>
      <c r="K176" s="200">
        <f>C176</f>
        <v>3244483495.5264006</v>
      </c>
      <c r="L176" s="200"/>
      <c r="M176" s="200"/>
      <c r="N176" s="200"/>
      <c r="O176" s="98"/>
      <c r="P176" s="98"/>
      <c r="Q176" s="98"/>
      <c r="R176" s="98">
        <f>SUM(F176:Q176)</f>
        <v>3244483495.5264006</v>
      </c>
      <c r="S176" s="298">
        <f>SUM(R176:R180)</f>
        <v>10307437000.761345</v>
      </c>
      <c r="T176" s="277"/>
    </row>
    <row r="177" spans="1:20" ht="34.5" customHeight="1">
      <c r="A177" s="232" t="str">
        <f>'GESTIÓN INTEGRAL INSTITUCIONAL'!B11</f>
        <v xml:space="preserve">Certificar y fortalecer el sistema de gestión ambiental. </v>
      </c>
      <c r="B177" s="45" t="str">
        <f>'GESTIÓN INTEGRAL INSTITUCIONAL'!D11</f>
        <v>ALTA
(88%)</v>
      </c>
      <c r="C177" s="98">
        <f>'GESTIÓN INTEGRAL INSTITUCIONAL'!AA11</f>
        <v>106782529.61792</v>
      </c>
      <c r="D177" s="298"/>
      <c r="E177" s="299"/>
      <c r="F177" s="164"/>
      <c r="G177" s="200"/>
      <c r="H177" s="200"/>
      <c r="I177" s="200"/>
      <c r="J177" s="200"/>
      <c r="K177" s="200">
        <f>C177</f>
        <v>106782529.61792</v>
      </c>
      <c r="L177" s="200"/>
      <c r="M177" s="200"/>
      <c r="N177" s="200"/>
      <c r="O177" s="98"/>
      <c r="P177" s="98"/>
      <c r="Q177" s="98"/>
      <c r="R177" s="98">
        <f>SUM(F177:Q177)</f>
        <v>106782529.61792</v>
      </c>
      <c r="S177" s="298"/>
      <c r="T177" s="277"/>
    </row>
    <row r="178" spans="1:20" ht="34.5" customHeight="1">
      <c r="A178" s="233" t="str">
        <f>'GESTIÓN INTEGRAL INSTITUCIONAL'!B14</f>
        <v>Implementar el  programa de gestión documental y el plan institucional de archivo.</v>
      </c>
      <c r="B178" s="71" t="str">
        <f>'GESTIÓN INTEGRAL INSTITUCIONAL'!D14</f>
        <v>ALTA
(93%)</v>
      </c>
      <c r="C178" s="98">
        <f>'GESTIÓN INTEGRAL INSTITUCIONAL'!AA14</f>
        <v>5894806136.6272001</v>
      </c>
      <c r="D178" s="298"/>
      <c r="E178" s="299"/>
      <c r="F178" s="164">
        <f>C178/2</f>
        <v>2947403068.3136001</v>
      </c>
      <c r="G178" s="200"/>
      <c r="H178" s="200"/>
      <c r="I178" s="200"/>
      <c r="J178" s="200"/>
      <c r="K178" s="200">
        <f>C178/2</f>
        <v>2947403068.3136001</v>
      </c>
      <c r="L178" s="200"/>
      <c r="M178" s="200"/>
      <c r="N178" s="200"/>
      <c r="O178" s="98"/>
      <c r="P178" s="98"/>
      <c r="Q178" s="98"/>
      <c r="R178" s="98">
        <f>SUM(F178:Q178)</f>
        <v>5894806136.6272001</v>
      </c>
      <c r="S178" s="298"/>
      <c r="T178" s="277"/>
    </row>
    <row r="179" spans="1:20" ht="34.5" customHeight="1">
      <c r="A179" s="232" t="str">
        <f>'GESTIÓN INTEGRAL INSTITUCIONAL'!B18</f>
        <v>Mantener la certificación del sistema de calidad (NTC ISO 9001:2015).</v>
      </c>
      <c r="B179" s="45" t="str">
        <f>'GESTIÓN INTEGRAL INSTITUCIONAL'!D18</f>
        <v>MEDIA
(78%)</v>
      </c>
      <c r="C179" s="98">
        <f>'GESTIÓN INTEGRAL INSTITUCIONAL'!AA18</f>
        <v>45016118.804480001</v>
      </c>
      <c r="D179" s="298"/>
      <c r="E179" s="299"/>
      <c r="F179" s="164"/>
      <c r="G179" s="200"/>
      <c r="H179" s="200"/>
      <c r="I179" s="200"/>
      <c r="J179" s="200"/>
      <c r="K179" s="200">
        <f>C179</f>
        <v>45016118.804480001</v>
      </c>
      <c r="L179" s="200"/>
      <c r="M179" s="200"/>
      <c r="N179" s="200"/>
      <c r="O179" s="98"/>
      <c r="P179" s="98"/>
      <c r="Q179" s="98"/>
      <c r="R179" s="98">
        <f>SUM(F179:Q179)</f>
        <v>45016118.804480001</v>
      </c>
      <c r="S179" s="298"/>
      <c r="T179" s="277"/>
    </row>
    <row r="180" spans="1:20" ht="34.5" customHeight="1">
      <c r="A180" s="232" t="str">
        <f>'GESTIÓN INTEGRAL INSTITUCIONAL'!B20</f>
        <v>Iniciar un programa de acreditación de pruebas de laboratorios para ofrecer servicios a los gremios y sectores empresariales.</v>
      </c>
      <c r="B180" s="45" t="str">
        <f>'GESTIÓN INTEGRAL INSTITUCIONAL'!D20</f>
        <v>ALTA
(90%)</v>
      </c>
      <c r="C180" s="98">
        <f>'GESTIÓN INTEGRAL INSTITUCIONAL'!AA20</f>
        <v>1016348720.185344</v>
      </c>
      <c r="D180" s="298"/>
      <c r="E180" s="299"/>
      <c r="F180" s="164"/>
      <c r="G180" s="200"/>
      <c r="H180" s="200"/>
      <c r="I180" s="200"/>
      <c r="J180" s="200"/>
      <c r="K180" s="200">
        <f>C180</f>
        <v>1016348720.185344</v>
      </c>
      <c r="L180" s="200"/>
      <c r="M180" s="200"/>
      <c r="N180" s="200"/>
      <c r="O180" s="98"/>
      <c r="P180" s="98"/>
      <c r="Q180" s="98"/>
      <c r="R180" s="98">
        <f>SUM(F180:Q180)</f>
        <v>1016348720.185344</v>
      </c>
      <c r="S180" s="298"/>
      <c r="T180" s="277"/>
    </row>
    <row r="181" spans="1:20">
      <c r="A181" s="273" t="s">
        <v>89</v>
      </c>
      <c r="B181" s="274"/>
      <c r="C181" s="274"/>
      <c r="D181" s="275"/>
      <c r="E181" s="299"/>
      <c r="F181" s="295"/>
      <c r="G181" s="296"/>
      <c r="H181" s="296"/>
      <c r="I181" s="296"/>
      <c r="J181" s="296"/>
      <c r="K181" s="296"/>
      <c r="L181" s="296"/>
      <c r="M181" s="296"/>
      <c r="N181" s="296"/>
      <c r="O181" s="297"/>
      <c r="P181" s="297"/>
      <c r="Q181" s="297"/>
      <c r="R181" s="297"/>
      <c r="S181" s="297"/>
      <c r="T181" s="277"/>
    </row>
    <row r="182" spans="1:20" ht="36" customHeight="1">
      <c r="A182" s="232" t="str">
        <f>'GESTIÓN INTEGRAL INSTITUCIONAL'!B22</f>
        <v>Actualizar de forma continua y articulada los indicadores de gestión de los procesos institucionales para la toma de decisiones y rendición de cuentas.</v>
      </c>
      <c r="B182" s="45" t="str">
        <f>'GESTIÓN INTEGRAL INSTITUCIONAL'!D22</f>
        <v>ALTA
(90%)</v>
      </c>
      <c r="C182" s="98">
        <f>'GESTIÓN INTEGRAL INSTITUCIONAL'!AA22</f>
        <v>0</v>
      </c>
      <c r="D182" s="298">
        <f>SUM(C182:C183)</f>
        <v>1579658896.1792002</v>
      </c>
      <c r="E182" s="299"/>
      <c r="F182" s="164"/>
      <c r="G182" s="200"/>
      <c r="H182" s="200"/>
      <c r="I182" s="200"/>
      <c r="J182" s="200"/>
      <c r="K182" s="200"/>
      <c r="L182" s="200"/>
      <c r="M182" s="200"/>
      <c r="N182" s="200"/>
      <c r="O182" s="98"/>
      <c r="P182" s="98"/>
      <c r="Q182" s="98"/>
      <c r="R182" s="98">
        <f>SUM(F182:Q182)</f>
        <v>0</v>
      </c>
      <c r="S182" s="298">
        <f>SUM(R182:R183)</f>
        <v>1579658896.1792002</v>
      </c>
      <c r="T182" s="277"/>
    </row>
    <row r="183" spans="1:20" ht="46.5" customHeight="1">
      <c r="A183" s="232" t="str">
        <f>'GESTIÓN INTEGRAL INSTITUCIONAL'!B23</f>
        <v>Fortalecer los sistemas de información institucional para la planeación, monitoreo, evaluación de actividades y toma de decisiones, de forma que se articulen con los sistemas nacionales de información de la educación superior y demás entes correspondientes.</v>
      </c>
      <c r="B183" s="45" t="str">
        <f>'GESTIÓN INTEGRAL INSTITUCIONAL'!D23</f>
        <v>ALTA
(95%)</v>
      </c>
      <c r="C183" s="98">
        <f>'GESTIÓN INTEGRAL INSTITUCIONAL'!AA23</f>
        <v>1579658896.1792002</v>
      </c>
      <c r="D183" s="298"/>
      <c r="E183" s="299"/>
      <c r="F183" s="164"/>
      <c r="G183" s="200"/>
      <c r="H183" s="200"/>
      <c r="I183" s="200"/>
      <c r="J183" s="200"/>
      <c r="K183" s="200">
        <f>C183</f>
        <v>1579658896.1792002</v>
      </c>
      <c r="L183" s="200"/>
      <c r="M183" s="200"/>
      <c r="N183" s="200"/>
      <c r="O183" s="98"/>
      <c r="P183" s="98"/>
      <c r="Q183" s="98"/>
      <c r="R183" s="98">
        <f>SUM(F183:Q183)</f>
        <v>1579658896.1792002</v>
      </c>
      <c r="S183" s="298"/>
      <c r="T183" s="277"/>
    </row>
    <row r="184" spans="1:20">
      <c r="A184" s="273" t="s">
        <v>90</v>
      </c>
      <c r="B184" s="274"/>
      <c r="C184" s="274"/>
      <c r="D184" s="275"/>
      <c r="E184" s="299"/>
      <c r="F184" s="295"/>
      <c r="G184" s="296"/>
      <c r="H184" s="296"/>
      <c r="I184" s="296"/>
      <c r="J184" s="296"/>
      <c r="K184" s="296"/>
      <c r="L184" s="296"/>
      <c r="M184" s="296"/>
      <c r="N184" s="296"/>
      <c r="O184" s="297"/>
      <c r="P184" s="297"/>
      <c r="Q184" s="297"/>
      <c r="R184" s="297"/>
      <c r="S184" s="297"/>
      <c r="T184" s="277"/>
    </row>
    <row r="185" spans="1:20" ht="39" customHeight="1">
      <c r="A185" s="233" t="str">
        <f>'GESTIÓN INTEGRAL INSTITUCIONAL'!B26</f>
        <v>Fortalecer instrumentos y procedimientos de medición y evaluación de  resultados de  los procesos misionales y administrativos.</v>
      </c>
      <c r="B185" s="71" t="str">
        <f>'GESTIÓN INTEGRAL INSTITUCIONAL'!D26</f>
        <v>ALTA
(95%)</v>
      </c>
      <c r="C185" s="98">
        <f>'GESTIÓN INTEGRAL INSTITUCIONAL'!AA26</f>
        <v>150000000</v>
      </c>
      <c r="D185" s="298">
        <f>SUM(C185:C186)</f>
        <v>150000000</v>
      </c>
      <c r="E185" s="299"/>
      <c r="F185" s="164"/>
      <c r="G185" s="200"/>
      <c r="H185" s="200"/>
      <c r="I185" s="200"/>
      <c r="J185" s="200"/>
      <c r="K185" s="200">
        <f>C185</f>
        <v>150000000</v>
      </c>
      <c r="L185" s="200"/>
      <c r="M185" s="200"/>
      <c r="N185" s="200"/>
      <c r="O185" s="98"/>
      <c r="P185" s="98"/>
      <c r="Q185" s="98"/>
      <c r="R185" s="98">
        <f>SUM(F185:Q185)</f>
        <v>150000000</v>
      </c>
      <c r="S185" s="298">
        <f>SUM(R185:R186)</f>
        <v>150000000</v>
      </c>
      <c r="T185" s="277"/>
    </row>
    <row r="186" spans="1:20" ht="46.5" customHeight="1" thickBot="1">
      <c r="A186" s="233" t="str">
        <f>'GESTIÓN INTEGRAL INSTITUCIONAL'!B27</f>
        <v>Generar informes de resultados cualitativos y cuantitativos que permitan realizar análisis en términos de calidad y mejora continua, en consonancia con los lineamientos aplicados para las instituciones de educación superior.</v>
      </c>
      <c r="B186" s="71" t="str">
        <f>'GESTIÓN INTEGRAL INSTITUCIONAL'!D27</f>
        <v>ALTA
(85%)</v>
      </c>
      <c r="C186" s="98">
        <f>'GESTIÓN INTEGRAL INSTITUCIONAL'!AA27</f>
        <v>0</v>
      </c>
      <c r="D186" s="298"/>
      <c r="E186" s="299"/>
      <c r="F186" s="210"/>
      <c r="G186" s="211"/>
      <c r="H186" s="211"/>
      <c r="I186" s="211"/>
      <c r="J186" s="211"/>
      <c r="K186" s="211"/>
      <c r="L186" s="211"/>
      <c r="M186" s="211"/>
      <c r="N186" s="211"/>
      <c r="O186" s="104"/>
      <c r="P186" s="104"/>
      <c r="Q186" s="104"/>
      <c r="R186" s="104">
        <f>SUM(F186:Q186)</f>
        <v>0</v>
      </c>
      <c r="S186" s="319"/>
      <c r="T186" s="279"/>
    </row>
  </sheetData>
  <sheetProtection algorithmName="SHA-512" hashValue="VNG9DaJUofIokWJ+LvnEAUqbKpjMlP31xST2qQhtL6O5Ucag71SMBtjzKAsdr5r/UTdsb2JuHAylq60qyGc48Q==" saltValue="d+YU5EgA/rV/y/XO5JxYIg==" spinCount="100000" sheet="1" objects="1" scenarios="1"/>
  <mergeCells count="229">
    <mergeCell ref="F125:S125"/>
    <mergeCell ref="F128:S128"/>
    <mergeCell ref="F133:S133"/>
    <mergeCell ref="S126:S127"/>
    <mergeCell ref="T6:T26"/>
    <mergeCell ref="F4:T4"/>
    <mergeCell ref="F2:T2"/>
    <mergeCell ref="S107:S108"/>
    <mergeCell ref="S110:S112"/>
    <mergeCell ref="S116:S117"/>
    <mergeCell ref="S119:S120"/>
    <mergeCell ref="S122:S124"/>
    <mergeCell ref="S78:S79"/>
    <mergeCell ref="S81:S82"/>
    <mergeCell ref="S84:S87"/>
    <mergeCell ref="S89:S92"/>
    <mergeCell ref="S94:S96"/>
    <mergeCell ref="S14:S15"/>
    <mergeCell ref="S17:S18"/>
    <mergeCell ref="S20:S21"/>
    <mergeCell ref="S23:S24"/>
    <mergeCell ref="S29:S32"/>
    <mergeCell ref="F121:S121"/>
    <mergeCell ref="F88:S88"/>
    <mergeCell ref="S173:S174"/>
    <mergeCell ref="S176:S180"/>
    <mergeCell ref="S182:S183"/>
    <mergeCell ref="S185:S186"/>
    <mergeCell ref="S134:S135"/>
    <mergeCell ref="S137:S139"/>
    <mergeCell ref="S164:S165"/>
    <mergeCell ref="S169:S170"/>
    <mergeCell ref="S145:S147"/>
    <mergeCell ref="F172:S172"/>
    <mergeCell ref="F175:S175"/>
    <mergeCell ref="F181:S181"/>
    <mergeCell ref="F184:S184"/>
    <mergeCell ref="F166:S166"/>
    <mergeCell ref="F168:S168"/>
    <mergeCell ref="F144:S144"/>
    <mergeCell ref="F136:S136"/>
    <mergeCell ref="F140:S140"/>
    <mergeCell ref="F163:S163"/>
    <mergeCell ref="F93:S93"/>
    <mergeCell ref="F69:S69"/>
    <mergeCell ref="F73:S73"/>
    <mergeCell ref="F77:S77"/>
    <mergeCell ref="S70:S72"/>
    <mergeCell ref="F115:S115"/>
    <mergeCell ref="F118:S118"/>
    <mergeCell ref="F98:S98"/>
    <mergeCell ref="F104:S104"/>
    <mergeCell ref="F106:S106"/>
    <mergeCell ref="S99:S101"/>
    <mergeCell ref="F109:S109"/>
    <mergeCell ref="F33:S33"/>
    <mergeCell ref="F39:S39"/>
    <mergeCell ref="F13:S13"/>
    <mergeCell ref="F16:S16"/>
    <mergeCell ref="F19:S19"/>
    <mergeCell ref="F22:S22"/>
    <mergeCell ref="F25:S25"/>
    <mergeCell ref="F55:S55"/>
    <mergeCell ref="F61:S61"/>
    <mergeCell ref="F43:S43"/>
    <mergeCell ref="F46:S46"/>
    <mergeCell ref="F49:S49"/>
    <mergeCell ref="F52:S52"/>
    <mergeCell ref="S34:S38"/>
    <mergeCell ref="S40:S41"/>
    <mergeCell ref="S44:S45"/>
    <mergeCell ref="S47:S48"/>
    <mergeCell ref="S50:S51"/>
    <mergeCell ref="S53:S54"/>
    <mergeCell ref="S56:S60"/>
    <mergeCell ref="F6:S6"/>
    <mergeCell ref="F9:S9"/>
    <mergeCell ref="S7:S8"/>
    <mergeCell ref="A42:E42"/>
    <mergeCell ref="A1:E1"/>
    <mergeCell ref="A4:E4"/>
    <mergeCell ref="A5:E5"/>
    <mergeCell ref="E6:E26"/>
    <mergeCell ref="D7:D8"/>
    <mergeCell ref="D10:D12"/>
    <mergeCell ref="D20:D21"/>
    <mergeCell ref="D23:D24"/>
    <mergeCell ref="C2:E2"/>
    <mergeCell ref="B2:B3"/>
    <mergeCell ref="A2:A3"/>
    <mergeCell ref="A27:E27"/>
    <mergeCell ref="E28:E41"/>
    <mergeCell ref="D29:D32"/>
    <mergeCell ref="D34:D38"/>
    <mergeCell ref="D40:D41"/>
    <mergeCell ref="D14:D15"/>
    <mergeCell ref="D17:D18"/>
    <mergeCell ref="S10:S12"/>
    <mergeCell ref="F28:S28"/>
    <mergeCell ref="E43:E65"/>
    <mergeCell ref="D44:D45"/>
    <mergeCell ref="D47:D48"/>
    <mergeCell ref="D50:D51"/>
    <mergeCell ref="D53:D54"/>
    <mergeCell ref="D56:D60"/>
    <mergeCell ref="D64:D65"/>
    <mergeCell ref="A103:E103"/>
    <mergeCell ref="A66:E66"/>
    <mergeCell ref="E67:E74"/>
    <mergeCell ref="D70:D72"/>
    <mergeCell ref="A75:E75"/>
    <mergeCell ref="A76:E76"/>
    <mergeCell ref="E77:E96"/>
    <mergeCell ref="D78:D79"/>
    <mergeCell ref="D81:D82"/>
    <mergeCell ref="D84:D87"/>
    <mergeCell ref="D89:D92"/>
    <mergeCell ref="D94:D96"/>
    <mergeCell ref="A97:E97"/>
    <mergeCell ref="E98:E101"/>
    <mergeCell ref="D99:D101"/>
    <mergeCell ref="A102:E102"/>
    <mergeCell ref="A77:D77"/>
    <mergeCell ref="A133:D133"/>
    <mergeCell ref="A136:D136"/>
    <mergeCell ref="A140:D140"/>
    <mergeCell ref="A143:E143"/>
    <mergeCell ref="D145:D147"/>
    <mergeCell ref="D129:D131"/>
    <mergeCell ref="A132:E132"/>
    <mergeCell ref="E133:E141"/>
    <mergeCell ref="D134:D135"/>
    <mergeCell ref="D137:D139"/>
    <mergeCell ref="A142:E142"/>
    <mergeCell ref="E115:E131"/>
    <mergeCell ref="D116:D117"/>
    <mergeCell ref="D119:D120"/>
    <mergeCell ref="D122:D124"/>
    <mergeCell ref="D126:D127"/>
    <mergeCell ref="E104:E112"/>
    <mergeCell ref="D107:D108"/>
    <mergeCell ref="D110:D112"/>
    <mergeCell ref="A113:E113"/>
    <mergeCell ref="A114:E114"/>
    <mergeCell ref="A118:D118"/>
    <mergeCell ref="A121:D121"/>
    <mergeCell ref="A125:D125"/>
    <mergeCell ref="A128:D128"/>
    <mergeCell ref="E172:E186"/>
    <mergeCell ref="D173:D174"/>
    <mergeCell ref="D176:D180"/>
    <mergeCell ref="D182:D183"/>
    <mergeCell ref="D185:D186"/>
    <mergeCell ref="D149:D153"/>
    <mergeCell ref="E144:E160"/>
    <mergeCell ref="A144:D144"/>
    <mergeCell ref="A148:D148"/>
    <mergeCell ref="A154:D154"/>
    <mergeCell ref="A156:D156"/>
    <mergeCell ref="A159:D159"/>
    <mergeCell ref="A163:D163"/>
    <mergeCell ref="A166:D166"/>
    <mergeCell ref="A168:D168"/>
    <mergeCell ref="A172:D172"/>
    <mergeCell ref="A175:D175"/>
    <mergeCell ref="A181:D181"/>
    <mergeCell ref="A184:D184"/>
    <mergeCell ref="A162:E162"/>
    <mergeCell ref="E163:E170"/>
    <mergeCell ref="D164:D165"/>
    <mergeCell ref="D169:D170"/>
    <mergeCell ref="D157:D158"/>
    <mergeCell ref="T43:T65"/>
    <mergeCell ref="F75:T75"/>
    <mergeCell ref="T77:T96"/>
    <mergeCell ref="F102:T102"/>
    <mergeCell ref="F113:T113"/>
    <mergeCell ref="F142:T142"/>
    <mergeCell ref="F161:T161"/>
    <mergeCell ref="T67:T74"/>
    <mergeCell ref="T98:T101"/>
    <mergeCell ref="T104:T112"/>
    <mergeCell ref="T115:T131"/>
    <mergeCell ref="T133:T141"/>
    <mergeCell ref="T144:T160"/>
    <mergeCell ref="F154:S154"/>
    <mergeCell ref="F156:S156"/>
    <mergeCell ref="F159:S159"/>
    <mergeCell ref="S149:S153"/>
    <mergeCell ref="S157:S158"/>
    <mergeCell ref="F63:S63"/>
    <mergeCell ref="F67:S67"/>
    <mergeCell ref="S64:S65"/>
    <mergeCell ref="F80:S80"/>
    <mergeCell ref="F83:S83"/>
    <mergeCell ref="S129:S131"/>
    <mergeCell ref="T163:T170"/>
    <mergeCell ref="T172:T186"/>
    <mergeCell ref="F148:S148"/>
    <mergeCell ref="A6:D6"/>
    <mergeCell ref="A9:D9"/>
    <mergeCell ref="A13:D13"/>
    <mergeCell ref="A16:D16"/>
    <mergeCell ref="A19:D19"/>
    <mergeCell ref="A22:D22"/>
    <mergeCell ref="A25:D25"/>
    <mergeCell ref="A28:D28"/>
    <mergeCell ref="A33:D33"/>
    <mergeCell ref="A39:D39"/>
    <mergeCell ref="A43:D43"/>
    <mergeCell ref="A46:D46"/>
    <mergeCell ref="A49:D49"/>
    <mergeCell ref="A52:D52"/>
    <mergeCell ref="A55:D55"/>
    <mergeCell ref="A61:D61"/>
    <mergeCell ref="A63:D63"/>
    <mergeCell ref="A67:D67"/>
    <mergeCell ref="A69:D69"/>
    <mergeCell ref="A73:D73"/>
    <mergeCell ref="T28:T41"/>
    <mergeCell ref="A80:D80"/>
    <mergeCell ref="A83:D83"/>
    <mergeCell ref="A88:D88"/>
    <mergeCell ref="A93:D93"/>
    <mergeCell ref="A98:D98"/>
    <mergeCell ref="A104:D104"/>
    <mergeCell ref="A106:D106"/>
    <mergeCell ref="A109:D109"/>
    <mergeCell ref="A115:D115"/>
  </mergeCells>
  <pageMargins left="0.7" right="0.7" top="0.75" bottom="0.75" header="0.3" footer="0.3"/>
  <pageSetup orientation="portrait" horizontalDpi="0" verticalDpi="0" r:id="rId1"/>
  <ignoredErrors>
    <ignoredError sqref="D7 C174 D173:D174 E163 E172 D186 C23:D23 E6 C8 C59 D56 C62:D62 C64:D64 E43 C68:D68 C71:D72 B79:D79 D78 C90:D92 E77 C110:D112 E104 C116:D116 E115 B123:D124 C122:D122 C126:D126 C129:D131 C141:D141 E133 D167 D170 D169 C180 C177:C178 C183 D183 D185 E67 C160:D160 E144 D176:D180 D182 Q7:S8 R23:S24 Q62:S62 Q64:S65 R59 S56 K67:S67 L72:O72 K71:P71 R71:S71 L89 R89:S92 T77 O129 R116:S116 R122:S124 R126:S127 R129:S131 T115 T67 T43 T6 K160 R160:S160 D89 D65 D70 D127 F71:H72 F67:H70 K69:S69 L68:P68 R68:S68 L70:O70 Q70:S70 Q72:S72 R66:S66 C117:D117 R117:S117" evalError="1"/>
    <ignoredError sqref="K178 K111"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3"/>
  <sheetViews>
    <sheetView zoomScale="80" zoomScaleNormal="80" zoomScalePageLayoutView="40" workbookViewId="0">
      <selection sqref="A1:P1"/>
    </sheetView>
  </sheetViews>
  <sheetFormatPr defaultColWidth="11" defaultRowHeight="15.75"/>
  <cols>
    <col min="1" max="1" width="28.125" customWidth="1"/>
    <col min="2" max="2" width="52.875" customWidth="1"/>
    <col min="3" max="3" width="25.875" customWidth="1"/>
    <col min="4" max="4" width="11" customWidth="1"/>
    <col min="5" max="5" width="13.5" customWidth="1"/>
    <col min="6" max="6" width="31.125" customWidth="1"/>
    <col min="7" max="7" width="14.875" customWidth="1"/>
    <col min="8" max="8" width="19.5" customWidth="1"/>
    <col min="9" max="9" width="18.625" bestFit="1" customWidth="1"/>
    <col min="10" max="12" width="10.125" customWidth="1"/>
    <col min="13" max="16" width="7.875" bestFit="1" customWidth="1"/>
    <col min="17" max="17" width="18.125" style="105" customWidth="1"/>
    <col min="18" max="18" width="7.875" customWidth="1"/>
    <col min="19" max="25" width="16.125" customWidth="1"/>
    <col min="26" max="27" width="23.625" customWidth="1"/>
    <col min="28" max="28" width="27.625" customWidth="1"/>
  </cols>
  <sheetData>
    <row r="1" spans="1:28" ht="32.1" customHeight="1">
      <c r="A1" s="347" t="s">
        <v>91</v>
      </c>
      <c r="B1" s="347"/>
      <c r="C1" s="347"/>
      <c r="D1" s="347"/>
      <c r="E1" s="347"/>
      <c r="F1" s="347"/>
      <c r="G1" s="347"/>
      <c r="H1" s="347"/>
      <c r="I1" s="347"/>
      <c r="J1" s="347"/>
      <c r="K1" s="347"/>
      <c r="L1" s="347"/>
      <c r="M1" s="347"/>
      <c r="N1" s="347"/>
      <c r="O1" s="347"/>
      <c r="P1" s="347"/>
      <c r="T1" s="179"/>
      <c r="U1" s="180"/>
      <c r="V1" s="180"/>
      <c r="W1" s="180"/>
      <c r="X1" s="180"/>
      <c r="Y1" s="180"/>
    </row>
    <row r="2" spans="1:28" ht="16.5" thickBot="1">
      <c r="A2" s="345"/>
      <c r="B2" s="345"/>
      <c r="C2" s="345"/>
      <c r="D2" s="345"/>
      <c r="E2" s="345"/>
      <c r="F2" s="345"/>
      <c r="G2" s="345"/>
      <c r="H2" s="345"/>
      <c r="I2" s="345"/>
      <c r="J2" s="345"/>
      <c r="K2" s="345"/>
      <c r="L2" s="345"/>
      <c r="M2" s="345"/>
      <c r="N2" s="345"/>
      <c r="O2" s="345"/>
      <c r="P2" s="346"/>
      <c r="R2" s="224">
        <f>R5+1</f>
        <v>1.04</v>
      </c>
      <c r="T2" s="178"/>
      <c r="U2" s="178"/>
      <c r="V2" s="178"/>
      <c r="W2" s="178"/>
      <c r="X2" s="178"/>
      <c r="Y2" s="178"/>
    </row>
    <row r="3" spans="1:28" ht="22.5" customHeight="1">
      <c r="A3" s="361" t="s">
        <v>92</v>
      </c>
      <c r="B3" s="324" t="s">
        <v>93</v>
      </c>
      <c r="C3" s="324" t="s">
        <v>94</v>
      </c>
      <c r="D3" s="324" t="s">
        <v>35</v>
      </c>
      <c r="E3" s="326" t="s">
        <v>95</v>
      </c>
      <c r="F3" s="326" t="s">
        <v>96</v>
      </c>
      <c r="G3" s="324" t="s">
        <v>97</v>
      </c>
      <c r="H3" s="324" t="s">
        <v>98</v>
      </c>
      <c r="I3" s="326" t="s">
        <v>99</v>
      </c>
      <c r="J3" s="356" t="s">
        <v>100</v>
      </c>
      <c r="K3" s="356"/>
      <c r="L3" s="356"/>
      <c r="M3" s="356"/>
      <c r="N3" s="356"/>
      <c r="O3" s="356"/>
      <c r="P3" s="356"/>
      <c r="Q3" s="334" t="s">
        <v>101</v>
      </c>
      <c r="R3" s="336" t="s">
        <v>102</v>
      </c>
      <c r="S3" s="338" t="s">
        <v>103</v>
      </c>
      <c r="T3" s="338"/>
      <c r="U3" s="338"/>
      <c r="V3" s="338"/>
      <c r="W3" s="338"/>
      <c r="X3" s="338"/>
      <c r="Y3" s="338"/>
      <c r="Z3" s="336" t="s">
        <v>104</v>
      </c>
      <c r="AA3" s="339" t="s">
        <v>105</v>
      </c>
      <c r="AB3" s="329" t="s">
        <v>2</v>
      </c>
    </row>
    <row r="4" spans="1:28" ht="22.5" customHeight="1" thickBot="1">
      <c r="A4" s="362"/>
      <c r="B4" s="325"/>
      <c r="C4" s="325"/>
      <c r="D4" s="325"/>
      <c r="E4" s="324"/>
      <c r="F4" s="324"/>
      <c r="G4" s="325"/>
      <c r="H4" s="325"/>
      <c r="I4" s="324"/>
      <c r="J4" s="1">
        <v>2021</v>
      </c>
      <c r="K4" s="1">
        <v>2022</v>
      </c>
      <c r="L4" s="1">
        <v>2023</v>
      </c>
      <c r="M4" s="1">
        <v>2024</v>
      </c>
      <c r="N4" s="1">
        <v>2025</v>
      </c>
      <c r="O4" s="1">
        <v>2026</v>
      </c>
      <c r="P4" s="1">
        <v>2027</v>
      </c>
      <c r="Q4" s="335"/>
      <c r="R4" s="337"/>
      <c r="S4" s="182">
        <v>2021</v>
      </c>
      <c r="T4" s="182">
        <v>2022</v>
      </c>
      <c r="U4" s="182">
        <v>2023</v>
      </c>
      <c r="V4" s="182">
        <v>2024</v>
      </c>
      <c r="W4" s="182">
        <v>2025</v>
      </c>
      <c r="X4" s="182">
        <v>2026</v>
      </c>
      <c r="Y4" s="182">
        <v>2027</v>
      </c>
      <c r="Z4" s="337"/>
      <c r="AA4" s="340"/>
      <c r="AB4" s="330"/>
    </row>
    <row r="5" spans="1:28" s="70" customFormat="1" ht="62.25" customHeight="1">
      <c r="A5" s="348" t="s">
        <v>106</v>
      </c>
      <c r="B5" s="357" t="s">
        <v>107</v>
      </c>
      <c r="C5" s="359" t="s">
        <v>108</v>
      </c>
      <c r="D5" s="359" t="s">
        <v>109</v>
      </c>
      <c r="E5" s="359" t="s">
        <v>110</v>
      </c>
      <c r="F5" s="236" t="s">
        <v>111</v>
      </c>
      <c r="G5" s="11" t="s">
        <v>112</v>
      </c>
      <c r="H5" s="11" t="s">
        <v>113</v>
      </c>
      <c r="I5" s="6">
        <v>0.1</v>
      </c>
      <c r="J5" s="6">
        <v>0.2</v>
      </c>
      <c r="K5" s="6">
        <v>0.3</v>
      </c>
      <c r="L5" s="6">
        <v>0.35</v>
      </c>
      <c r="M5" s="6">
        <v>0.4</v>
      </c>
      <c r="N5" s="6">
        <v>0.45</v>
      </c>
      <c r="O5" s="6">
        <v>0.5</v>
      </c>
      <c r="P5" s="106">
        <v>0.5</v>
      </c>
      <c r="Q5" s="92">
        <v>50000000</v>
      </c>
      <c r="R5" s="93">
        <v>0.04</v>
      </c>
      <c r="S5" s="181">
        <f t="shared" ref="S5:S31" si="0">IF(J5&lt;&gt;0,Q5,0)</f>
        <v>50000000</v>
      </c>
      <c r="T5" s="181">
        <f t="shared" ref="T5:T31" si="1">IF(K5&lt;&gt;0,(IF(S5&lt;&gt;0,(S5*$R$2),($Q5*$R$2))),0)</f>
        <v>52000000</v>
      </c>
      <c r="U5" s="181">
        <f t="shared" ref="U5:U31" si="2">IF(L5&lt;&gt;0,(IF(T5&lt;&gt;0,(T5*$R$2),(($Q5*$R$2)*$R$2))),0)</f>
        <v>54080000</v>
      </c>
      <c r="V5" s="181">
        <f t="shared" ref="V5:V31" si="3">IF(M5&lt;&gt;0,(IF(U5&lt;&gt;0,(U5*$R$2),(($Q5*$R$2)*$R$2*$R$2))),0)</f>
        <v>56243200</v>
      </c>
      <c r="W5" s="181">
        <f t="shared" ref="W5:W31" si="4">IF(N5&lt;&gt;0,(IF(V5&lt;&gt;0,(V5*$R$2),(($Q5*$R$2)*$R$2*$R$2*$R$2))),0)</f>
        <v>58492928</v>
      </c>
      <c r="X5" s="181">
        <f t="shared" ref="X5:X31" si="5">IF(O5&lt;&gt;0,(IF(W5&lt;&gt;0,(W5*$R$2),(($Q5*$R$2)*$R$2*$R$2*$R$2*$R$2))),0)</f>
        <v>60832645.120000005</v>
      </c>
      <c r="Y5" s="181">
        <f t="shared" ref="Y5:Y31" si="6">IF(P5&lt;&gt;0,(IF(X5&lt;&gt;0,(X5*$R$2),(($Q5*$R$2)*$R$2*$R$2*$R$2*$R$2*$R$2))),0)</f>
        <v>63265950.924800009</v>
      </c>
      <c r="Z5" s="94">
        <f>SUM(S5:Y5)</f>
        <v>394914724.04480004</v>
      </c>
      <c r="AA5" s="344">
        <f>SUM(Z5:Z6)</f>
        <v>789829448.08960009</v>
      </c>
      <c r="AB5" s="331" t="s">
        <v>114</v>
      </c>
    </row>
    <row r="6" spans="1:28" s="70" customFormat="1" ht="62.25" customHeight="1">
      <c r="A6" s="349"/>
      <c r="B6" s="358"/>
      <c r="C6" s="360"/>
      <c r="D6" s="360"/>
      <c r="E6" s="360"/>
      <c r="F6" s="233" t="s">
        <v>115</v>
      </c>
      <c r="G6" s="45" t="s">
        <v>112</v>
      </c>
      <c r="H6" s="45" t="s">
        <v>113</v>
      </c>
      <c r="I6" s="15">
        <v>0.15</v>
      </c>
      <c r="J6" s="15">
        <v>0.2</v>
      </c>
      <c r="K6" s="15">
        <v>0.3</v>
      </c>
      <c r="L6" s="15">
        <v>0.35</v>
      </c>
      <c r="M6" s="15">
        <v>0.4</v>
      </c>
      <c r="N6" s="15">
        <v>0.45</v>
      </c>
      <c r="O6" s="15">
        <v>0.5</v>
      </c>
      <c r="P6" s="108">
        <v>0.5</v>
      </c>
      <c r="Q6" s="95">
        <v>50000000</v>
      </c>
      <c r="R6" s="96">
        <v>0.04</v>
      </c>
      <c r="S6" s="97">
        <f t="shared" si="0"/>
        <v>50000000</v>
      </c>
      <c r="T6" s="97">
        <f t="shared" si="1"/>
        <v>52000000</v>
      </c>
      <c r="U6" s="97">
        <f t="shared" si="2"/>
        <v>54080000</v>
      </c>
      <c r="V6" s="97">
        <f t="shared" si="3"/>
        <v>56243200</v>
      </c>
      <c r="W6" s="97">
        <f t="shared" si="4"/>
        <v>58492928</v>
      </c>
      <c r="X6" s="97">
        <f t="shared" si="5"/>
        <v>60832645.120000005</v>
      </c>
      <c r="Y6" s="97">
        <f t="shared" si="6"/>
        <v>63265950.924800009</v>
      </c>
      <c r="Z6" s="98">
        <f t="shared" ref="Z6:Z15" si="7">SUM(S6:Y6)</f>
        <v>394914724.04480004</v>
      </c>
      <c r="AA6" s="304"/>
      <c r="AB6" s="332"/>
    </row>
    <row r="7" spans="1:28" s="70" customFormat="1" ht="82.5" customHeight="1" thickBot="1">
      <c r="A7" s="350"/>
      <c r="B7" s="235" t="s">
        <v>116</v>
      </c>
      <c r="C7" s="9" t="s">
        <v>117</v>
      </c>
      <c r="D7" s="9" t="s">
        <v>118</v>
      </c>
      <c r="E7" s="9" t="s">
        <v>119</v>
      </c>
      <c r="F7" s="235" t="s">
        <v>120</v>
      </c>
      <c r="G7" s="9" t="s">
        <v>113</v>
      </c>
      <c r="H7" s="9" t="s">
        <v>113</v>
      </c>
      <c r="I7" s="9">
        <v>0</v>
      </c>
      <c r="J7" s="9">
        <v>1</v>
      </c>
      <c r="K7" s="9">
        <v>2</v>
      </c>
      <c r="L7" s="9">
        <v>2</v>
      </c>
      <c r="M7" s="9">
        <v>2</v>
      </c>
      <c r="N7" s="9">
        <v>3</v>
      </c>
      <c r="O7" s="9">
        <v>3</v>
      </c>
      <c r="P7" s="116">
        <v>3</v>
      </c>
      <c r="Q7" s="99">
        <v>0</v>
      </c>
      <c r="R7" s="100">
        <v>0.04</v>
      </c>
      <c r="S7" s="97">
        <f t="shared" si="0"/>
        <v>0</v>
      </c>
      <c r="T7" s="97">
        <f t="shared" si="1"/>
        <v>0</v>
      </c>
      <c r="U7" s="97">
        <f t="shared" si="2"/>
        <v>0</v>
      </c>
      <c r="V7" s="97">
        <f t="shared" si="3"/>
        <v>0</v>
      </c>
      <c r="W7" s="97">
        <f t="shared" si="4"/>
        <v>0</v>
      </c>
      <c r="X7" s="97">
        <f t="shared" si="5"/>
        <v>0</v>
      </c>
      <c r="Y7" s="97">
        <f t="shared" si="6"/>
        <v>0</v>
      </c>
      <c r="Z7" s="101">
        <f t="shared" si="7"/>
        <v>0</v>
      </c>
      <c r="AA7" s="184">
        <f>Z7</f>
        <v>0</v>
      </c>
      <c r="AB7" s="189" t="s">
        <v>15</v>
      </c>
    </row>
    <row r="8" spans="1:28" s="70" customFormat="1" ht="71.25" customHeight="1">
      <c r="A8" s="348" t="s">
        <v>121</v>
      </c>
      <c r="B8" s="236" t="s">
        <v>122</v>
      </c>
      <c r="C8" s="13" t="s">
        <v>123</v>
      </c>
      <c r="D8" s="13" t="s">
        <v>124</v>
      </c>
      <c r="E8" s="13" t="s">
        <v>110</v>
      </c>
      <c r="F8" s="236" t="s">
        <v>125</v>
      </c>
      <c r="G8" s="11" t="s">
        <v>113</v>
      </c>
      <c r="H8" s="11" t="s">
        <v>113</v>
      </c>
      <c r="I8" s="6">
        <v>0.08</v>
      </c>
      <c r="J8" s="6">
        <v>0.1</v>
      </c>
      <c r="K8" s="6">
        <v>0.1</v>
      </c>
      <c r="L8" s="6">
        <v>0.2</v>
      </c>
      <c r="M8" s="6">
        <v>0.2</v>
      </c>
      <c r="N8" s="6">
        <v>0.3</v>
      </c>
      <c r="O8" s="6">
        <v>0.3</v>
      </c>
      <c r="P8" s="106">
        <v>0.4</v>
      </c>
      <c r="Q8" s="92">
        <v>0</v>
      </c>
      <c r="R8" s="93">
        <v>0.04</v>
      </c>
      <c r="S8" s="181">
        <f t="shared" si="0"/>
        <v>0</v>
      </c>
      <c r="T8" s="181">
        <f t="shared" si="1"/>
        <v>0</v>
      </c>
      <c r="U8" s="181">
        <f t="shared" si="2"/>
        <v>0</v>
      </c>
      <c r="V8" s="181">
        <f t="shared" si="3"/>
        <v>0</v>
      </c>
      <c r="W8" s="181">
        <f t="shared" si="4"/>
        <v>0</v>
      </c>
      <c r="X8" s="181">
        <f t="shared" si="5"/>
        <v>0</v>
      </c>
      <c r="Y8" s="181">
        <f t="shared" si="6"/>
        <v>0</v>
      </c>
      <c r="Z8" s="94">
        <f t="shared" si="7"/>
        <v>0</v>
      </c>
      <c r="AA8" s="186">
        <f>Z8</f>
        <v>0</v>
      </c>
      <c r="AB8" s="191" t="s">
        <v>15</v>
      </c>
    </row>
    <row r="9" spans="1:28" s="70" customFormat="1" ht="98.25" customHeight="1">
      <c r="A9" s="349"/>
      <c r="B9" s="233" t="s">
        <v>126</v>
      </c>
      <c r="C9" s="71" t="s">
        <v>127</v>
      </c>
      <c r="D9" s="71" t="s">
        <v>128</v>
      </c>
      <c r="E9" s="71" t="s">
        <v>110</v>
      </c>
      <c r="F9" s="233" t="s">
        <v>129</v>
      </c>
      <c r="G9" s="45" t="s">
        <v>112</v>
      </c>
      <c r="H9" s="45" t="s">
        <v>113</v>
      </c>
      <c r="I9" s="15">
        <v>0.05</v>
      </c>
      <c r="J9" s="15">
        <v>0.1</v>
      </c>
      <c r="K9" s="15">
        <v>0.1</v>
      </c>
      <c r="L9" s="15">
        <v>0.15</v>
      </c>
      <c r="M9" s="15">
        <v>0.2</v>
      </c>
      <c r="N9" s="15">
        <v>0.25</v>
      </c>
      <c r="O9" s="15">
        <v>0.3</v>
      </c>
      <c r="P9" s="108">
        <v>0.3</v>
      </c>
      <c r="Q9" s="95">
        <v>0</v>
      </c>
      <c r="R9" s="96">
        <v>0.04</v>
      </c>
      <c r="S9" s="97">
        <f t="shared" si="0"/>
        <v>0</v>
      </c>
      <c r="T9" s="97">
        <f t="shared" si="1"/>
        <v>0</v>
      </c>
      <c r="U9" s="97">
        <f t="shared" si="2"/>
        <v>0</v>
      </c>
      <c r="V9" s="97">
        <f t="shared" si="3"/>
        <v>0</v>
      </c>
      <c r="W9" s="97">
        <f t="shared" si="4"/>
        <v>0</v>
      </c>
      <c r="X9" s="97">
        <f t="shared" si="5"/>
        <v>0</v>
      </c>
      <c r="Y9" s="97">
        <f t="shared" si="6"/>
        <v>0</v>
      </c>
      <c r="Z9" s="98">
        <f t="shared" si="7"/>
        <v>0</v>
      </c>
      <c r="AA9" s="183">
        <f>Z9</f>
        <v>0</v>
      </c>
      <c r="AB9" s="188" t="s">
        <v>15</v>
      </c>
    </row>
    <row r="10" spans="1:28" s="70" customFormat="1" ht="87.75" customHeight="1" thickBot="1">
      <c r="A10" s="350"/>
      <c r="B10" s="237" t="s">
        <v>130</v>
      </c>
      <c r="C10" s="72" t="s">
        <v>131</v>
      </c>
      <c r="D10" s="72" t="s">
        <v>124</v>
      </c>
      <c r="E10" s="72" t="s">
        <v>119</v>
      </c>
      <c r="F10" s="241" t="s">
        <v>132</v>
      </c>
      <c r="G10" s="9" t="s">
        <v>113</v>
      </c>
      <c r="H10" s="9" t="s">
        <v>113</v>
      </c>
      <c r="I10" s="9" t="s">
        <v>133</v>
      </c>
      <c r="J10" s="9">
        <v>0</v>
      </c>
      <c r="K10" s="9">
        <v>4</v>
      </c>
      <c r="L10" s="9">
        <v>2</v>
      </c>
      <c r="M10" s="9">
        <v>2</v>
      </c>
      <c r="N10" s="9">
        <v>2</v>
      </c>
      <c r="O10" s="9">
        <v>2</v>
      </c>
      <c r="P10" s="116">
        <v>2</v>
      </c>
      <c r="Q10" s="99">
        <v>0</v>
      </c>
      <c r="R10" s="100">
        <v>0.04</v>
      </c>
      <c r="S10" s="103">
        <f t="shared" si="0"/>
        <v>0</v>
      </c>
      <c r="T10" s="103">
        <f t="shared" si="1"/>
        <v>0</v>
      </c>
      <c r="U10" s="103">
        <f t="shared" si="2"/>
        <v>0</v>
      </c>
      <c r="V10" s="103">
        <f t="shared" si="3"/>
        <v>0</v>
      </c>
      <c r="W10" s="103">
        <f t="shared" si="4"/>
        <v>0</v>
      </c>
      <c r="X10" s="103">
        <f t="shared" si="5"/>
        <v>0</v>
      </c>
      <c r="Y10" s="103">
        <f t="shared" si="6"/>
        <v>0</v>
      </c>
      <c r="Z10" s="101">
        <f t="shared" si="7"/>
        <v>0</v>
      </c>
      <c r="AA10" s="184">
        <f>Z10</f>
        <v>0</v>
      </c>
      <c r="AB10" s="189" t="s">
        <v>15</v>
      </c>
    </row>
    <row r="11" spans="1:28" s="70" customFormat="1" ht="72.75" customHeight="1">
      <c r="A11" s="351" t="s">
        <v>134</v>
      </c>
      <c r="B11" s="238" t="s">
        <v>135</v>
      </c>
      <c r="C11" s="62" t="s">
        <v>117</v>
      </c>
      <c r="D11" s="62" t="s">
        <v>124</v>
      </c>
      <c r="E11" s="62" t="s">
        <v>119</v>
      </c>
      <c r="F11" s="238" t="s">
        <v>136</v>
      </c>
      <c r="G11" s="17" t="s">
        <v>113</v>
      </c>
      <c r="H11" s="11" t="s">
        <v>113</v>
      </c>
      <c r="I11" s="6" t="s">
        <v>137</v>
      </c>
      <c r="J11" s="17">
        <v>1</v>
      </c>
      <c r="K11" s="17">
        <v>2</v>
      </c>
      <c r="L11" s="17">
        <v>3</v>
      </c>
      <c r="M11" s="17">
        <v>3</v>
      </c>
      <c r="N11" s="17">
        <v>4</v>
      </c>
      <c r="O11" s="17">
        <v>4</v>
      </c>
      <c r="P11" s="117">
        <v>4</v>
      </c>
      <c r="Q11" s="92">
        <v>0</v>
      </c>
      <c r="R11" s="93">
        <v>0.04</v>
      </c>
      <c r="S11" s="128">
        <f t="shared" si="0"/>
        <v>0</v>
      </c>
      <c r="T11" s="128">
        <f t="shared" si="1"/>
        <v>0</v>
      </c>
      <c r="U11" s="128">
        <f t="shared" si="2"/>
        <v>0</v>
      </c>
      <c r="V11" s="128">
        <f t="shared" si="3"/>
        <v>0</v>
      </c>
      <c r="W11" s="128">
        <f t="shared" si="4"/>
        <v>0</v>
      </c>
      <c r="X11" s="128">
        <f t="shared" si="5"/>
        <v>0</v>
      </c>
      <c r="Y11" s="128">
        <f t="shared" si="6"/>
        <v>0</v>
      </c>
      <c r="Z11" s="94">
        <f t="shared" si="7"/>
        <v>0</v>
      </c>
      <c r="AA11" s="186">
        <f>Z11</f>
        <v>0</v>
      </c>
      <c r="AB11" s="191" t="s">
        <v>15</v>
      </c>
    </row>
    <row r="12" spans="1:28" s="70" customFormat="1" ht="72.75" customHeight="1">
      <c r="A12" s="352"/>
      <c r="B12" s="354" t="s">
        <v>138</v>
      </c>
      <c r="C12" s="57" t="s">
        <v>117</v>
      </c>
      <c r="D12" s="375" t="s">
        <v>124</v>
      </c>
      <c r="E12" s="69" t="s">
        <v>110</v>
      </c>
      <c r="F12" s="242" t="s">
        <v>139</v>
      </c>
      <c r="G12" s="63" t="s">
        <v>113</v>
      </c>
      <c r="H12" s="64" t="s">
        <v>140</v>
      </c>
      <c r="I12" s="74" t="s">
        <v>141</v>
      </c>
      <c r="J12" s="63" t="s">
        <v>142</v>
      </c>
      <c r="K12" s="63" t="s">
        <v>143</v>
      </c>
      <c r="L12" s="63" t="s">
        <v>144</v>
      </c>
      <c r="M12" s="63" t="s">
        <v>145</v>
      </c>
      <c r="N12" s="63" t="s">
        <v>146</v>
      </c>
      <c r="O12" s="63" t="s">
        <v>147</v>
      </c>
      <c r="P12" s="118" t="s">
        <v>148</v>
      </c>
      <c r="Q12" s="95">
        <v>0</v>
      </c>
      <c r="R12" s="96">
        <v>0.04</v>
      </c>
      <c r="S12" s="97">
        <f t="shared" si="0"/>
        <v>0</v>
      </c>
      <c r="T12" s="97">
        <f t="shared" si="1"/>
        <v>0</v>
      </c>
      <c r="U12" s="97">
        <f t="shared" si="2"/>
        <v>0</v>
      </c>
      <c r="V12" s="97">
        <f t="shared" si="3"/>
        <v>0</v>
      </c>
      <c r="W12" s="97">
        <f t="shared" si="4"/>
        <v>0</v>
      </c>
      <c r="X12" s="97">
        <f t="shared" si="5"/>
        <v>0</v>
      </c>
      <c r="Y12" s="97">
        <f t="shared" si="6"/>
        <v>0</v>
      </c>
      <c r="Z12" s="98">
        <f t="shared" si="7"/>
        <v>0</v>
      </c>
      <c r="AA12" s="300">
        <f>SUM(Z12:Z13)</f>
        <v>0</v>
      </c>
      <c r="AB12" s="333" t="s">
        <v>15</v>
      </c>
    </row>
    <row r="13" spans="1:28" s="70" customFormat="1" ht="72.75" customHeight="1" thickBot="1">
      <c r="A13" s="353"/>
      <c r="B13" s="355"/>
      <c r="C13" s="75" t="s">
        <v>117</v>
      </c>
      <c r="D13" s="376"/>
      <c r="E13" s="76" t="s">
        <v>110</v>
      </c>
      <c r="F13" s="240" t="s">
        <v>149</v>
      </c>
      <c r="G13" s="77" t="s">
        <v>113</v>
      </c>
      <c r="H13" s="78" t="s">
        <v>113</v>
      </c>
      <c r="I13" s="79" t="s">
        <v>150</v>
      </c>
      <c r="J13" s="80" t="s">
        <v>151</v>
      </c>
      <c r="K13" s="80" t="s">
        <v>152</v>
      </c>
      <c r="L13" s="77" t="s">
        <v>153</v>
      </c>
      <c r="M13" s="77" t="s">
        <v>154</v>
      </c>
      <c r="N13" s="77" t="s">
        <v>155</v>
      </c>
      <c r="O13" s="77" t="s">
        <v>156</v>
      </c>
      <c r="P13" s="119" t="s">
        <v>157</v>
      </c>
      <c r="Q13" s="99">
        <v>0</v>
      </c>
      <c r="R13" s="100">
        <v>0.04</v>
      </c>
      <c r="S13" s="103">
        <f t="shared" si="0"/>
        <v>0</v>
      </c>
      <c r="T13" s="103">
        <f t="shared" si="1"/>
        <v>0</v>
      </c>
      <c r="U13" s="103">
        <f t="shared" si="2"/>
        <v>0</v>
      </c>
      <c r="V13" s="103">
        <f t="shared" si="3"/>
        <v>0</v>
      </c>
      <c r="W13" s="103">
        <f t="shared" si="4"/>
        <v>0</v>
      </c>
      <c r="X13" s="103">
        <f t="shared" si="5"/>
        <v>0</v>
      </c>
      <c r="Y13" s="103">
        <f t="shared" si="6"/>
        <v>0</v>
      </c>
      <c r="Z13" s="101">
        <f t="shared" si="7"/>
        <v>0</v>
      </c>
      <c r="AA13" s="374"/>
      <c r="AB13" s="328"/>
    </row>
    <row r="14" spans="1:28" s="70" customFormat="1" ht="96.75" customHeight="1">
      <c r="A14" s="348" t="s">
        <v>158</v>
      </c>
      <c r="B14" s="239" t="s">
        <v>159</v>
      </c>
      <c r="C14" s="62" t="s">
        <v>160</v>
      </c>
      <c r="D14" s="62" t="s">
        <v>161</v>
      </c>
      <c r="E14" s="13" t="s">
        <v>119</v>
      </c>
      <c r="F14" s="236" t="s">
        <v>162</v>
      </c>
      <c r="G14" s="11" t="s">
        <v>113</v>
      </c>
      <c r="H14" s="11" t="s">
        <v>113</v>
      </c>
      <c r="I14" s="11">
        <v>6</v>
      </c>
      <c r="J14" s="11">
        <v>3</v>
      </c>
      <c r="K14" s="11">
        <v>3</v>
      </c>
      <c r="L14" s="11">
        <v>3</v>
      </c>
      <c r="M14" s="11">
        <v>7</v>
      </c>
      <c r="N14" s="11">
        <v>9</v>
      </c>
      <c r="O14" s="11">
        <v>3</v>
      </c>
      <c r="P14" s="120">
        <v>3</v>
      </c>
      <c r="Q14" s="92">
        <v>0</v>
      </c>
      <c r="R14" s="93">
        <v>0.04</v>
      </c>
      <c r="S14" s="128">
        <f t="shared" si="0"/>
        <v>0</v>
      </c>
      <c r="T14" s="128">
        <f t="shared" si="1"/>
        <v>0</v>
      </c>
      <c r="U14" s="128">
        <f t="shared" si="2"/>
        <v>0</v>
      </c>
      <c r="V14" s="128">
        <f t="shared" si="3"/>
        <v>0</v>
      </c>
      <c r="W14" s="128">
        <f t="shared" si="4"/>
        <v>0</v>
      </c>
      <c r="X14" s="128">
        <f t="shared" si="5"/>
        <v>0</v>
      </c>
      <c r="Y14" s="128">
        <f t="shared" si="6"/>
        <v>0</v>
      </c>
      <c r="Z14" s="94">
        <f t="shared" si="7"/>
        <v>0</v>
      </c>
      <c r="AA14" s="186">
        <f>Z14</f>
        <v>0</v>
      </c>
      <c r="AB14" s="191" t="s">
        <v>15</v>
      </c>
    </row>
    <row r="15" spans="1:28" s="70" customFormat="1" ht="75.75" customHeight="1" thickBot="1">
      <c r="A15" s="350"/>
      <c r="B15" s="240" t="s">
        <v>163</v>
      </c>
      <c r="C15" s="76" t="s">
        <v>164</v>
      </c>
      <c r="D15" s="76" t="s">
        <v>161</v>
      </c>
      <c r="E15" s="82" t="s">
        <v>110</v>
      </c>
      <c r="F15" s="243" t="s">
        <v>165</v>
      </c>
      <c r="G15" s="78" t="s">
        <v>113</v>
      </c>
      <c r="H15" s="78" t="s">
        <v>113</v>
      </c>
      <c r="I15" s="83" t="s">
        <v>166</v>
      </c>
      <c r="J15" s="83">
        <v>18000</v>
      </c>
      <c r="K15" s="83">
        <v>18500</v>
      </c>
      <c r="L15" s="83">
        <v>19000</v>
      </c>
      <c r="M15" s="83">
        <v>19500</v>
      </c>
      <c r="N15" s="83">
        <v>20000</v>
      </c>
      <c r="O15" s="83">
        <v>20500</v>
      </c>
      <c r="P15" s="121">
        <v>21000</v>
      </c>
      <c r="Q15" s="99">
        <v>0</v>
      </c>
      <c r="R15" s="110">
        <v>0.04</v>
      </c>
      <c r="S15" s="103">
        <f t="shared" si="0"/>
        <v>0</v>
      </c>
      <c r="T15" s="103">
        <f t="shared" si="1"/>
        <v>0</v>
      </c>
      <c r="U15" s="103">
        <f t="shared" si="2"/>
        <v>0</v>
      </c>
      <c r="V15" s="103">
        <f t="shared" si="3"/>
        <v>0</v>
      </c>
      <c r="W15" s="103">
        <f t="shared" si="4"/>
        <v>0</v>
      </c>
      <c r="X15" s="103">
        <f t="shared" si="5"/>
        <v>0</v>
      </c>
      <c r="Y15" s="103">
        <f t="shared" si="6"/>
        <v>0</v>
      </c>
      <c r="Z15" s="101">
        <f t="shared" si="7"/>
        <v>0</v>
      </c>
      <c r="AA15" s="184">
        <f>Z15</f>
        <v>0</v>
      </c>
      <c r="AB15" s="189" t="s">
        <v>15</v>
      </c>
    </row>
    <row r="16" spans="1:28" s="70" customFormat="1" ht="57" customHeight="1">
      <c r="A16" s="348" t="s">
        <v>167</v>
      </c>
      <c r="B16" s="366" t="s">
        <v>168</v>
      </c>
      <c r="C16" s="359" t="s">
        <v>169</v>
      </c>
      <c r="D16" s="359" t="s">
        <v>170</v>
      </c>
      <c r="E16" s="13" t="s">
        <v>110</v>
      </c>
      <c r="F16" s="236" t="s">
        <v>171</v>
      </c>
      <c r="G16" s="11" t="s">
        <v>112</v>
      </c>
      <c r="H16" s="11" t="s">
        <v>113</v>
      </c>
      <c r="I16" s="85">
        <v>0.6</v>
      </c>
      <c r="J16" s="6">
        <v>0.6</v>
      </c>
      <c r="K16" s="6">
        <v>0.6</v>
      </c>
      <c r="L16" s="6">
        <v>0.65</v>
      </c>
      <c r="M16" s="6">
        <v>0.65</v>
      </c>
      <c r="N16" s="6">
        <v>0.7</v>
      </c>
      <c r="O16" s="6">
        <v>0.7</v>
      </c>
      <c r="P16" s="106">
        <v>0.75</v>
      </c>
      <c r="Q16" s="92">
        <v>0</v>
      </c>
      <c r="R16" s="93">
        <v>0.04</v>
      </c>
      <c r="S16" s="128">
        <f t="shared" si="0"/>
        <v>0</v>
      </c>
      <c r="T16" s="128">
        <f t="shared" si="1"/>
        <v>0</v>
      </c>
      <c r="U16" s="128">
        <f t="shared" si="2"/>
        <v>0</v>
      </c>
      <c r="V16" s="128">
        <f t="shared" si="3"/>
        <v>0</v>
      </c>
      <c r="W16" s="128">
        <f t="shared" si="4"/>
        <v>0</v>
      </c>
      <c r="X16" s="128">
        <f t="shared" si="5"/>
        <v>0</v>
      </c>
      <c r="Y16" s="128">
        <f t="shared" si="6"/>
        <v>0</v>
      </c>
      <c r="Z16" s="94">
        <f t="shared" ref="Z16:Z31" si="8">SUM(S16:Y16)</f>
        <v>0</v>
      </c>
      <c r="AA16" s="344">
        <f>SUM(Z16:Z20)</f>
        <v>0</v>
      </c>
      <c r="AB16" s="327" t="s">
        <v>15</v>
      </c>
    </row>
    <row r="17" spans="1:28" s="70" customFormat="1" ht="37.5" customHeight="1">
      <c r="A17" s="349"/>
      <c r="B17" s="367"/>
      <c r="C17" s="360"/>
      <c r="D17" s="360"/>
      <c r="E17" s="71" t="s">
        <v>110</v>
      </c>
      <c r="F17" s="233" t="s">
        <v>172</v>
      </c>
      <c r="G17" s="45" t="s">
        <v>112</v>
      </c>
      <c r="H17" s="45" t="s">
        <v>113</v>
      </c>
      <c r="I17" s="84">
        <v>0.8</v>
      </c>
      <c r="J17" s="84">
        <v>0.82</v>
      </c>
      <c r="K17" s="84">
        <v>0.82</v>
      </c>
      <c r="L17" s="84">
        <v>0.84</v>
      </c>
      <c r="M17" s="84">
        <v>0.84</v>
      </c>
      <c r="N17" s="84">
        <v>0.85</v>
      </c>
      <c r="O17" s="84">
        <v>0.85</v>
      </c>
      <c r="P17" s="107">
        <v>0.86</v>
      </c>
      <c r="Q17" s="95">
        <v>0</v>
      </c>
      <c r="R17" s="96">
        <v>0.04</v>
      </c>
      <c r="S17" s="97">
        <f t="shared" si="0"/>
        <v>0</v>
      </c>
      <c r="T17" s="97">
        <f t="shared" si="1"/>
        <v>0</v>
      </c>
      <c r="U17" s="97">
        <f t="shared" si="2"/>
        <v>0</v>
      </c>
      <c r="V17" s="97">
        <f t="shared" si="3"/>
        <v>0</v>
      </c>
      <c r="W17" s="97">
        <f t="shared" si="4"/>
        <v>0</v>
      </c>
      <c r="X17" s="97">
        <f t="shared" si="5"/>
        <v>0</v>
      </c>
      <c r="Y17" s="97">
        <f t="shared" si="6"/>
        <v>0</v>
      </c>
      <c r="Z17" s="98">
        <f t="shared" si="8"/>
        <v>0</v>
      </c>
      <c r="AA17" s="301"/>
      <c r="AB17" s="327"/>
    </row>
    <row r="18" spans="1:28" s="70" customFormat="1" ht="45.75" customHeight="1">
      <c r="A18" s="349"/>
      <c r="B18" s="367"/>
      <c r="C18" s="360"/>
      <c r="D18" s="360"/>
      <c r="E18" s="71" t="s">
        <v>110</v>
      </c>
      <c r="F18" s="233" t="s">
        <v>173</v>
      </c>
      <c r="G18" s="45" t="s">
        <v>112</v>
      </c>
      <c r="H18" s="45" t="s">
        <v>113</v>
      </c>
      <c r="I18" s="84">
        <v>0.48</v>
      </c>
      <c r="J18" s="84">
        <v>0.48</v>
      </c>
      <c r="K18" s="84">
        <v>0.48</v>
      </c>
      <c r="L18" s="84">
        <v>0.49</v>
      </c>
      <c r="M18" s="84">
        <v>0.49</v>
      </c>
      <c r="N18" s="84">
        <v>0.5</v>
      </c>
      <c r="O18" s="84">
        <v>0.5</v>
      </c>
      <c r="P18" s="107">
        <v>0.5</v>
      </c>
      <c r="Q18" s="95">
        <v>0</v>
      </c>
      <c r="R18" s="96">
        <v>0.04</v>
      </c>
      <c r="S18" s="97">
        <f t="shared" si="0"/>
        <v>0</v>
      </c>
      <c r="T18" s="97">
        <f t="shared" si="1"/>
        <v>0</v>
      </c>
      <c r="U18" s="97">
        <f t="shared" si="2"/>
        <v>0</v>
      </c>
      <c r="V18" s="97">
        <f t="shared" si="3"/>
        <v>0</v>
      </c>
      <c r="W18" s="97">
        <f t="shared" si="4"/>
        <v>0</v>
      </c>
      <c r="X18" s="97">
        <f t="shared" si="5"/>
        <v>0</v>
      </c>
      <c r="Y18" s="97">
        <f t="shared" si="6"/>
        <v>0</v>
      </c>
      <c r="Z18" s="98">
        <f t="shared" si="8"/>
        <v>0</v>
      </c>
      <c r="AA18" s="301"/>
      <c r="AB18" s="327"/>
    </row>
    <row r="19" spans="1:28" s="70" customFormat="1" ht="59.25" customHeight="1">
      <c r="A19" s="349"/>
      <c r="B19" s="367"/>
      <c r="C19" s="360"/>
      <c r="D19" s="360"/>
      <c r="E19" s="71" t="s">
        <v>174</v>
      </c>
      <c r="F19" s="231" t="s">
        <v>175</v>
      </c>
      <c r="G19" s="45" t="s">
        <v>112</v>
      </c>
      <c r="H19" s="45" t="s">
        <v>113</v>
      </c>
      <c r="I19" s="84">
        <v>0.5</v>
      </c>
      <c r="J19" s="84">
        <v>0.5</v>
      </c>
      <c r="K19" s="84">
        <v>0.5</v>
      </c>
      <c r="L19" s="84">
        <v>0.52</v>
      </c>
      <c r="M19" s="84">
        <v>0.54</v>
      </c>
      <c r="N19" s="84">
        <v>0.56000000000000005</v>
      </c>
      <c r="O19" s="84">
        <v>0.57999999999999996</v>
      </c>
      <c r="P19" s="107">
        <v>0.6</v>
      </c>
      <c r="Q19" s="95">
        <v>0</v>
      </c>
      <c r="R19" s="96">
        <v>0.04</v>
      </c>
      <c r="S19" s="97">
        <f t="shared" si="0"/>
        <v>0</v>
      </c>
      <c r="T19" s="97">
        <f t="shared" si="1"/>
        <v>0</v>
      </c>
      <c r="U19" s="97">
        <f t="shared" si="2"/>
        <v>0</v>
      </c>
      <c r="V19" s="97">
        <f t="shared" si="3"/>
        <v>0</v>
      </c>
      <c r="W19" s="97">
        <f t="shared" si="4"/>
        <v>0</v>
      </c>
      <c r="X19" s="97">
        <f t="shared" si="5"/>
        <v>0</v>
      </c>
      <c r="Y19" s="97">
        <f t="shared" si="6"/>
        <v>0</v>
      </c>
      <c r="Z19" s="98">
        <f t="shared" si="8"/>
        <v>0</v>
      </c>
      <c r="AA19" s="301"/>
      <c r="AB19" s="327"/>
    </row>
    <row r="20" spans="1:28" s="70" customFormat="1" ht="65.25" customHeight="1">
      <c r="A20" s="349"/>
      <c r="B20" s="367"/>
      <c r="C20" s="360"/>
      <c r="D20" s="360"/>
      <c r="E20" s="71" t="s">
        <v>174</v>
      </c>
      <c r="F20" s="231" t="s">
        <v>176</v>
      </c>
      <c r="G20" s="45" t="s">
        <v>112</v>
      </c>
      <c r="H20" s="45" t="s">
        <v>113</v>
      </c>
      <c r="I20" s="15">
        <v>0.65</v>
      </c>
      <c r="J20" s="15">
        <v>0.65</v>
      </c>
      <c r="K20" s="15">
        <v>0.65</v>
      </c>
      <c r="L20" s="15">
        <v>0.67</v>
      </c>
      <c r="M20" s="15">
        <v>0.67</v>
      </c>
      <c r="N20" s="15">
        <v>0.69</v>
      </c>
      <c r="O20" s="15">
        <v>0.69</v>
      </c>
      <c r="P20" s="108">
        <v>0.7</v>
      </c>
      <c r="Q20" s="95">
        <v>0</v>
      </c>
      <c r="R20" s="96">
        <v>0.04</v>
      </c>
      <c r="S20" s="97">
        <f t="shared" si="0"/>
        <v>0</v>
      </c>
      <c r="T20" s="97">
        <f t="shared" si="1"/>
        <v>0</v>
      </c>
      <c r="U20" s="97">
        <f t="shared" si="2"/>
        <v>0</v>
      </c>
      <c r="V20" s="97">
        <f t="shared" si="3"/>
        <v>0</v>
      </c>
      <c r="W20" s="97">
        <f t="shared" si="4"/>
        <v>0</v>
      </c>
      <c r="X20" s="97">
        <f t="shared" si="5"/>
        <v>0</v>
      </c>
      <c r="Y20" s="97">
        <f t="shared" si="6"/>
        <v>0</v>
      </c>
      <c r="Z20" s="98">
        <f t="shared" si="8"/>
        <v>0</v>
      </c>
      <c r="AA20" s="304"/>
      <c r="AB20" s="332"/>
    </row>
    <row r="21" spans="1:28" s="70" customFormat="1" ht="60.75" customHeight="1" thickBot="1">
      <c r="A21" s="350"/>
      <c r="B21" s="237" t="s">
        <v>177</v>
      </c>
      <c r="C21" s="72" t="s">
        <v>117</v>
      </c>
      <c r="D21" s="72" t="s">
        <v>161</v>
      </c>
      <c r="E21" s="72" t="s">
        <v>110</v>
      </c>
      <c r="F21" s="237" t="s">
        <v>178</v>
      </c>
      <c r="G21" s="9" t="s">
        <v>112</v>
      </c>
      <c r="H21" s="9" t="s">
        <v>113</v>
      </c>
      <c r="I21" s="27">
        <v>0.4</v>
      </c>
      <c r="J21" s="27">
        <v>0.4</v>
      </c>
      <c r="K21" s="27">
        <v>0.4</v>
      </c>
      <c r="L21" s="27">
        <v>0.45</v>
      </c>
      <c r="M21" s="27">
        <v>0.45</v>
      </c>
      <c r="N21" s="27">
        <v>0.5</v>
      </c>
      <c r="O21" s="27">
        <v>0.5</v>
      </c>
      <c r="P21" s="109">
        <v>0.5</v>
      </c>
      <c r="Q21" s="99">
        <v>0</v>
      </c>
      <c r="R21" s="100">
        <v>0.04</v>
      </c>
      <c r="S21" s="103">
        <f t="shared" si="0"/>
        <v>0</v>
      </c>
      <c r="T21" s="103">
        <f t="shared" si="1"/>
        <v>0</v>
      </c>
      <c r="U21" s="103">
        <f t="shared" si="2"/>
        <v>0</v>
      </c>
      <c r="V21" s="103">
        <f t="shared" si="3"/>
        <v>0</v>
      </c>
      <c r="W21" s="103">
        <f t="shared" si="4"/>
        <v>0</v>
      </c>
      <c r="X21" s="103">
        <f t="shared" si="5"/>
        <v>0</v>
      </c>
      <c r="Y21" s="103">
        <f t="shared" si="6"/>
        <v>0</v>
      </c>
      <c r="Z21" s="101">
        <f t="shared" si="8"/>
        <v>0</v>
      </c>
      <c r="AA21" s="184">
        <f>Z21</f>
        <v>0</v>
      </c>
      <c r="AB21" s="189" t="s">
        <v>15</v>
      </c>
    </row>
    <row r="22" spans="1:28" s="70" customFormat="1" ht="55.5" customHeight="1" thickBot="1">
      <c r="A22" s="348" t="s">
        <v>179</v>
      </c>
      <c r="B22" s="364" t="s">
        <v>180</v>
      </c>
      <c r="C22" s="359" t="s">
        <v>181</v>
      </c>
      <c r="D22" s="359" t="s">
        <v>161</v>
      </c>
      <c r="E22" s="13" t="s">
        <v>174</v>
      </c>
      <c r="F22" s="239" t="s">
        <v>182</v>
      </c>
      <c r="G22" s="11" t="s">
        <v>113</v>
      </c>
      <c r="H22" s="11" t="s">
        <v>113</v>
      </c>
      <c r="I22" s="11" t="s">
        <v>183</v>
      </c>
      <c r="J22" s="11">
        <v>1</v>
      </c>
      <c r="K22" s="11">
        <v>0</v>
      </c>
      <c r="L22" s="11">
        <v>1</v>
      </c>
      <c r="M22" s="11">
        <v>0</v>
      </c>
      <c r="N22" s="11">
        <v>1</v>
      </c>
      <c r="O22" s="11">
        <v>0</v>
      </c>
      <c r="P22" s="120">
        <v>1</v>
      </c>
      <c r="Q22" s="92">
        <v>0</v>
      </c>
      <c r="R22" s="93">
        <v>0.04</v>
      </c>
      <c r="S22" s="128">
        <f t="shared" si="0"/>
        <v>0</v>
      </c>
      <c r="T22" s="128">
        <f t="shared" si="1"/>
        <v>0</v>
      </c>
      <c r="U22" s="128">
        <f t="shared" si="2"/>
        <v>0</v>
      </c>
      <c r="V22" s="128">
        <f t="shared" si="3"/>
        <v>0</v>
      </c>
      <c r="W22" s="128">
        <f t="shared" si="4"/>
        <v>0</v>
      </c>
      <c r="X22" s="128">
        <f t="shared" si="5"/>
        <v>0</v>
      </c>
      <c r="Y22" s="128">
        <f t="shared" si="6"/>
        <v>0</v>
      </c>
      <c r="Z22" s="94">
        <f t="shared" si="8"/>
        <v>0</v>
      </c>
      <c r="AA22" s="344">
        <f>SUM(Z22:Z26)</f>
        <v>3751720779.3101845</v>
      </c>
      <c r="AB22" s="327" t="s">
        <v>184</v>
      </c>
    </row>
    <row r="23" spans="1:28" s="70" customFormat="1" ht="81.75" customHeight="1">
      <c r="A23" s="349"/>
      <c r="B23" s="365"/>
      <c r="C23" s="360"/>
      <c r="D23" s="360"/>
      <c r="E23" s="71" t="s">
        <v>174</v>
      </c>
      <c r="F23" s="233" t="s">
        <v>185</v>
      </c>
      <c r="G23" s="45" t="s">
        <v>113</v>
      </c>
      <c r="H23" s="45" t="s">
        <v>113</v>
      </c>
      <c r="I23" s="45">
        <v>0</v>
      </c>
      <c r="J23" s="20">
        <v>0</v>
      </c>
      <c r="K23" s="20">
        <v>0</v>
      </c>
      <c r="L23" s="20">
        <v>10</v>
      </c>
      <c r="M23" s="20">
        <v>0</v>
      </c>
      <c r="N23" s="20">
        <v>0</v>
      </c>
      <c r="O23" s="20">
        <v>0</v>
      </c>
      <c r="P23" s="111">
        <v>10</v>
      </c>
      <c r="Q23" s="92">
        <v>6781300</v>
      </c>
      <c r="R23" s="96">
        <v>7.0000000000000007E-2</v>
      </c>
      <c r="S23" s="97">
        <f t="shared" si="0"/>
        <v>0</v>
      </c>
      <c r="T23" s="97">
        <f t="shared" si="1"/>
        <v>0</v>
      </c>
      <c r="U23" s="97">
        <v>1623562081.2371855</v>
      </c>
      <c r="V23" s="97">
        <f t="shared" si="3"/>
        <v>0</v>
      </c>
      <c r="W23" s="97">
        <f t="shared" si="4"/>
        <v>0</v>
      </c>
      <c r="X23" s="97">
        <f t="shared" si="5"/>
        <v>0</v>
      </c>
      <c r="Y23" s="97">
        <v>2128158698.072999</v>
      </c>
      <c r="Z23" s="98">
        <f>SUM(S23:Y23)</f>
        <v>3751720779.3101845</v>
      </c>
      <c r="AA23" s="301"/>
      <c r="AB23" s="327"/>
    </row>
    <row r="24" spans="1:28" s="70" customFormat="1" ht="103.5" customHeight="1">
      <c r="A24" s="349"/>
      <c r="B24" s="365"/>
      <c r="C24" s="360"/>
      <c r="D24" s="360"/>
      <c r="E24" s="71" t="s">
        <v>174</v>
      </c>
      <c r="F24" s="233" t="s">
        <v>186</v>
      </c>
      <c r="G24" s="45" t="s">
        <v>113</v>
      </c>
      <c r="H24" s="45" t="s">
        <v>140</v>
      </c>
      <c r="I24" s="45">
        <v>0</v>
      </c>
      <c r="J24" s="21">
        <v>0</v>
      </c>
      <c r="K24" s="21">
        <v>0.1</v>
      </c>
      <c r="L24" s="21">
        <v>0</v>
      </c>
      <c r="M24" s="21">
        <v>0.2</v>
      </c>
      <c r="N24" s="21">
        <v>0</v>
      </c>
      <c r="O24" s="21">
        <v>0.3</v>
      </c>
      <c r="P24" s="112">
        <v>0</v>
      </c>
      <c r="Q24" s="199">
        <v>0</v>
      </c>
      <c r="R24" s="96">
        <v>0.04</v>
      </c>
      <c r="S24" s="97">
        <f t="shared" si="0"/>
        <v>0</v>
      </c>
      <c r="T24" s="97">
        <f t="shared" si="1"/>
        <v>0</v>
      </c>
      <c r="U24" s="97">
        <f t="shared" si="2"/>
        <v>0</v>
      </c>
      <c r="V24" s="97">
        <f t="shared" si="3"/>
        <v>0</v>
      </c>
      <c r="W24" s="97">
        <f t="shared" si="4"/>
        <v>0</v>
      </c>
      <c r="X24" s="97">
        <f t="shared" si="5"/>
        <v>0</v>
      </c>
      <c r="Y24" s="97">
        <f t="shared" si="6"/>
        <v>0</v>
      </c>
      <c r="Z24" s="98">
        <f t="shared" si="8"/>
        <v>0</v>
      </c>
      <c r="AA24" s="301"/>
      <c r="AB24" s="327"/>
    </row>
    <row r="25" spans="1:28" s="70" customFormat="1" ht="75.95" customHeight="1">
      <c r="A25" s="349"/>
      <c r="B25" s="365"/>
      <c r="C25" s="360"/>
      <c r="D25" s="360"/>
      <c r="E25" s="71" t="s">
        <v>174</v>
      </c>
      <c r="F25" s="233" t="s">
        <v>187</v>
      </c>
      <c r="G25" s="45" t="s">
        <v>112</v>
      </c>
      <c r="H25" s="45" t="s">
        <v>113</v>
      </c>
      <c r="I25" s="22">
        <v>0.34</v>
      </c>
      <c r="J25" s="22">
        <v>0.35</v>
      </c>
      <c r="K25" s="22">
        <v>0.35</v>
      </c>
      <c r="L25" s="22">
        <v>0.4</v>
      </c>
      <c r="M25" s="22">
        <v>0.4</v>
      </c>
      <c r="N25" s="22">
        <v>0.45</v>
      </c>
      <c r="O25" s="22">
        <v>0.45</v>
      </c>
      <c r="P25" s="113">
        <v>0.45</v>
      </c>
      <c r="Q25" s="95">
        <v>0</v>
      </c>
      <c r="R25" s="96">
        <v>0.04</v>
      </c>
      <c r="S25" s="97">
        <f t="shared" si="0"/>
        <v>0</v>
      </c>
      <c r="T25" s="97">
        <f t="shared" si="1"/>
        <v>0</v>
      </c>
      <c r="U25" s="97">
        <f t="shared" si="2"/>
        <v>0</v>
      </c>
      <c r="V25" s="97">
        <f t="shared" si="3"/>
        <v>0</v>
      </c>
      <c r="W25" s="97">
        <f t="shared" si="4"/>
        <v>0</v>
      </c>
      <c r="X25" s="97">
        <f t="shared" si="5"/>
        <v>0</v>
      </c>
      <c r="Y25" s="97">
        <f t="shared" si="6"/>
        <v>0</v>
      </c>
      <c r="Z25" s="98">
        <f t="shared" si="8"/>
        <v>0</v>
      </c>
      <c r="AA25" s="301"/>
      <c r="AB25" s="327"/>
    </row>
    <row r="26" spans="1:28" s="70" customFormat="1" ht="52.5" customHeight="1">
      <c r="A26" s="349"/>
      <c r="B26" s="365"/>
      <c r="C26" s="360"/>
      <c r="D26" s="360"/>
      <c r="E26" s="71" t="s">
        <v>110</v>
      </c>
      <c r="F26" s="233" t="s">
        <v>188</v>
      </c>
      <c r="G26" s="45" t="s">
        <v>112</v>
      </c>
      <c r="H26" s="45" t="s">
        <v>113</v>
      </c>
      <c r="I26" s="22">
        <v>0.65</v>
      </c>
      <c r="J26" s="22">
        <v>0.7</v>
      </c>
      <c r="K26" s="22">
        <v>0.75</v>
      </c>
      <c r="L26" s="22">
        <v>0.75</v>
      </c>
      <c r="M26" s="22">
        <v>0.8</v>
      </c>
      <c r="N26" s="22">
        <v>0.8</v>
      </c>
      <c r="O26" s="22">
        <v>0.85</v>
      </c>
      <c r="P26" s="113">
        <v>0.85</v>
      </c>
      <c r="Q26" s="95">
        <v>0</v>
      </c>
      <c r="R26" s="96">
        <v>0.04</v>
      </c>
      <c r="S26" s="97">
        <f t="shared" si="0"/>
        <v>0</v>
      </c>
      <c r="T26" s="97">
        <f t="shared" si="1"/>
        <v>0</v>
      </c>
      <c r="U26" s="97">
        <f t="shared" si="2"/>
        <v>0</v>
      </c>
      <c r="V26" s="97">
        <f t="shared" si="3"/>
        <v>0</v>
      </c>
      <c r="W26" s="97">
        <f t="shared" si="4"/>
        <v>0</v>
      </c>
      <c r="X26" s="97">
        <f t="shared" si="5"/>
        <v>0</v>
      </c>
      <c r="Y26" s="97">
        <f t="shared" si="6"/>
        <v>0</v>
      </c>
      <c r="Z26" s="98">
        <f t="shared" si="8"/>
        <v>0</v>
      </c>
      <c r="AA26" s="304"/>
      <c r="AB26" s="332"/>
    </row>
    <row r="27" spans="1:28" s="70" customFormat="1" ht="120.75" customHeight="1" thickBot="1">
      <c r="A27" s="350"/>
      <c r="B27" s="237" t="s">
        <v>189</v>
      </c>
      <c r="C27" s="72" t="s">
        <v>190</v>
      </c>
      <c r="D27" s="72" t="s">
        <v>161</v>
      </c>
      <c r="E27" s="72" t="s">
        <v>110</v>
      </c>
      <c r="F27" s="237" t="s">
        <v>191</v>
      </c>
      <c r="G27" s="9" t="s">
        <v>112</v>
      </c>
      <c r="H27" s="9" t="s">
        <v>113</v>
      </c>
      <c r="I27" s="27">
        <v>0.55000000000000004</v>
      </c>
      <c r="J27" s="27">
        <v>0.55000000000000004</v>
      </c>
      <c r="K27" s="27">
        <v>0.6</v>
      </c>
      <c r="L27" s="27">
        <v>0.6</v>
      </c>
      <c r="M27" s="27">
        <v>0.65</v>
      </c>
      <c r="N27" s="27">
        <v>0.65</v>
      </c>
      <c r="O27" s="27">
        <v>0.7</v>
      </c>
      <c r="P27" s="109">
        <v>0.7</v>
      </c>
      <c r="Q27" s="99">
        <v>0</v>
      </c>
      <c r="R27" s="100">
        <v>0.04</v>
      </c>
      <c r="S27" s="103">
        <f t="shared" si="0"/>
        <v>0</v>
      </c>
      <c r="T27" s="103">
        <f t="shared" si="1"/>
        <v>0</v>
      </c>
      <c r="U27" s="103">
        <f t="shared" si="2"/>
        <v>0</v>
      </c>
      <c r="V27" s="103">
        <f t="shared" si="3"/>
        <v>0</v>
      </c>
      <c r="W27" s="103">
        <f t="shared" si="4"/>
        <v>0</v>
      </c>
      <c r="X27" s="103">
        <f t="shared" si="5"/>
        <v>0</v>
      </c>
      <c r="Y27" s="103">
        <f t="shared" si="6"/>
        <v>0</v>
      </c>
      <c r="Z27" s="101">
        <f t="shared" si="8"/>
        <v>0</v>
      </c>
      <c r="AA27" s="184">
        <f>Z27</f>
        <v>0</v>
      </c>
      <c r="AB27" s="189" t="s">
        <v>15</v>
      </c>
    </row>
    <row r="28" spans="1:28" s="70" customFormat="1" ht="60" customHeight="1">
      <c r="A28" s="348" t="s">
        <v>192</v>
      </c>
      <c r="B28" s="366" t="s">
        <v>193</v>
      </c>
      <c r="C28" s="359" t="s">
        <v>194</v>
      </c>
      <c r="D28" s="371" t="s">
        <v>118</v>
      </c>
      <c r="E28" s="13" t="s">
        <v>110</v>
      </c>
      <c r="F28" s="236" t="s">
        <v>195</v>
      </c>
      <c r="G28" s="11" t="s">
        <v>112</v>
      </c>
      <c r="H28" s="11" t="s">
        <v>113</v>
      </c>
      <c r="I28" s="23">
        <v>0.55000000000000004</v>
      </c>
      <c r="J28" s="23">
        <v>0.6</v>
      </c>
      <c r="K28" s="23">
        <v>0.6</v>
      </c>
      <c r="L28" s="23">
        <v>0.7</v>
      </c>
      <c r="M28" s="23">
        <v>0.7</v>
      </c>
      <c r="N28" s="23">
        <v>0.8</v>
      </c>
      <c r="O28" s="23">
        <v>0.8</v>
      </c>
      <c r="P28" s="106">
        <v>0.9</v>
      </c>
      <c r="Q28" s="92">
        <v>0</v>
      </c>
      <c r="R28" s="93">
        <v>0.04</v>
      </c>
      <c r="S28" s="128">
        <f t="shared" si="0"/>
        <v>0</v>
      </c>
      <c r="T28" s="128">
        <f t="shared" si="1"/>
        <v>0</v>
      </c>
      <c r="U28" s="128">
        <f t="shared" si="2"/>
        <v>0</v>
      </c>
      <c r="V28" s="128">
        <f t="shared" si="3"/>
        <v>0</v>
      </c>
      <c r="W28" s="128">
        <f t="shared" si="4"/>
        <v>0</v>
      </c>
      <c r="X28" s="128">
        <f t="shared" si="5"/>
        <v>0</v>
      </c>
      <c r="Y28" s="128">
        <f t="shared" si="6"/>
        <v>0</v>
      </c>
      <c r="Z28" s="94">
        <f t="shared" si="8"/>
        <v>0</v>
      </c>
      <c r="AA28" s="341">
        <f>SUM(Z28:Z31)</f>
        <v>0</v>
      </c>
      <c r="AB28" s="327" t="s">
        <v>15</v>
      </c>
    </row>
    <row r="29" spans="1:28" s="70" customFormat="1" ht="71.099999999999994" customHeight="1">
      <c r="A29" s="349"/>
      <c r="B29" s="367"/>
      <c r="C29" s="360"/>
      <c r="D29" s="372"/>
      <c r="E29" s="71" t="s">
        <v>110</v>
      </c>
      <c r="F29" s="232" t="s">
        <v>196</v>
      </c>
      <c r="G29" s="45" t="s">
        <v>112</v>
      </c>
      <c r="H29" s="45" t="s">
        <v>113</v>
      </c>
      <c r="I29" s="22">
        <v>0.6</v>
      </c>
      <c r="J29" s="22">
        <v>0.6</v>
      </c>
      <c r="K29" s="22">
        <v>0.6</v>
      </c>
      <c r="L29" s="22">
        <v>0.7</v>
      </c>
      <c r="M29" s="22">
        <v>0.7</v>
      </c>
      <c r="N29" s="22">
        <v>0.8</v>
      </c>
      <c r="O29" s="22">
        <v>0.8</v>
      </c>
      <c r="P29" s="113">
        <v>0.9</v>
      </c>
      <c r="Q29" s="95">
        <v>0</v>
      </c>
      <c r="R29" s="96">
        <v>0.04</v>
      </c>
      <c r="S29" s="97">
        <f t="shared" si="0"/>
        <v>0</v>
      </c>
      <c r="T29" s="97">
        <f t="shared" si="1"/>
        <v>0</v>
      </c>
      <c r="U29" s="97">
        <f t="shared" si="2"/>
        <v>0</v>
      </c>
      <c r="V29" s="97">
        <f t="shared" si="3"/>
        <v>0</v>
      </c>
      <c r="W29" s="97">
        <f t="shared" si="4"/>
        <v>0</v>
      </c>
      <c r="X29" s="97">
        <f t="shared" si="5"/>
        <v>0</v>
      </c>
      <c r="Y29" s="97">
        <f t="shared" si="6"/>
        <v>0</v>
      </c>
      <c r="Z29" s="98">
        <f t="shared" si="8"/>
        <v>0</v>
      </c>
      <c r="AA29" s="342"/>
      <c r="AB29" s="327"/>
    </row>
    <row r="30" spans="1:28" s="70" customFormat="1" ht="71.099999999999994" customHeight="1">
      <c r="A30" s="349"/>
      <c r="B30" s="367"/>
      <c r="C30" s="360"/>
      <c r="D30" s="372"/>
      <c r="E30" s="64" t="s">
        <v>174</v>
      </c>
      <c r="F30" s="244" t="s">
        <v>197</v>
      </c>
      <c r="G30" s="64" t="s">
        <v>113</v>
      </c>
      <c r="H30" s="64" t="s">
        <v>113</v>
      </c>
      <c r="I30" s="81" t="s">
        <v>198</v>
      </c>
      <c r="J30" s="81">
        <v>21000</v>
      </c>
      <c r="K30" s="81">
        <v>22000</v>
      </c>
      <c r="L30" s="81">
        <v>23000</v>
      </c>
      <c r="M30" s="81">
        <v>24000</v>
      </c>
      <c r="N30" s="81">
        <v>25000</v>
      </c>
      <c r="O30" s="81">
        <v>26000</v>
      </c>
      <c r="P30" s="114">
        <v>27000</v>
      </c>
      <c r="Q30" s="95">
        <v>0</v>
      </c>
      <c r="R30" s="96">
        <v>0.04</v>
      </c>
      <c r="S30" s="97">
        <f t="shared" si="0"/>
        <v>0</v>
      </c>
      <c r="T30" s="97">
        <f t="shared" si="1"/>
        <v>0</v>
      </c>
      <c r="U30" s="97">
        <f t="shared" si="2"/>
        <v>0</v>
      </c>
      <c r="V30" s="97">
        <f t="shared" si="3"/>
        <v>0</v>
      </c>
      <c r="W30" s="97">
        <f t="shared" si="4"/>
        <v>0</v>
      </c>
      <c r="X30" s="97">
        <f t="shared" si="5"/>
        <v>0</v>
      </c>
      <c r="Y30" s="97">
        <f t="shared" si="6"/>
        <v>0</v>
      </c>
      <c r="Z30" s="98">
        <f t="shared" si="8"/>
        <v>0</v>
      </c>
      <c r="AA30" s="342"/>
      <c r="AB30" s="327"/>
    </row>
    <row r="31" spans="1:28" s="70" customFormat="1" ht="53.25" customHeight="1" thickBot="1">
      <c r="A31" s="368"/>
      <c r="B31" s="369"/>
      <c r="C31" s="370"/>
      <c r="D31" s="373"/>
      <c r="E31" s="65" t="s">
        <v>174</v>
      </c>
      <c r="F31" s="245" t="s">
        <v>199</v>
      </c>
      <c r="G31" s="65" t="s">
        <v>113</v>
      </c>
      <c r="H31" s="65" t="s">
        <v>113</v>
      </c>
      <c r="I31" s="66" t="s">
        <v>200</v>
      </c>
      <c r="J31" s="66">
        <v>1060</v>
      </c>
      <c r="K31" s="66">
        <v>1110</v>
      </c>
      <c r="L31" s="66">
        <v>1160</v>
      </c>
      <c r="M31" s="66">
        <v>1210</v>
      </c>
      <c r="N31" s="66">
        <v>1250</v>
      </c>
      <c r="O31" s="66">
        <v>1310</v>
      </c>
      <c r="P31" s="115">
        <v>1360</v>
      </c>
      <c r="Q31" s="130">
        <v>0</v>
      </c>
      <c r="R31" s="102">
        <v>0.04</v>
      </c>
      <c r="S31" s="103">
        <f t="shared" si="0"/>
        <v>0</v>
      </c>
      <c r="T31" s="103">
        <f t="shared" si="1"/>
        <v>0</v>
      </c>
      <c r="U31" s="103">
        <f t="shared" si="2"/>
        <v>0</v>
      </c>
      <c r="V31" s="103">
        <f t="shared" si="3"/>
        <v>0</v>
      </c>
      <c r="W31" s="103">
        <f t="shared" si="4"/>
        <v>0</v>
      </c>
      <c r="X31" s="103">
        <f t="shared" si="5"/>
        <v>0</v>
      </c>
      <c r="Y31" s="103">
        <f t="shared" si="6"/>
        <v>0</v>
      </c>
      <c r="Z31" s="104">
        <f t="shared" si="8"/>
        <v>0</v>
      </c>
      <c r="AA31" s="343"/>
      <c r="AB31" s="328"/>
    </row>
    <row r="32" spans="1:28">
      <c r="A32" s="14"/>
      <c r="B32" s="14"/>
      <c r="C32" s="14"/>
      <c r="D32" s="14"/>
      <c r="E32" s="14"/>
      <c r="F32" s="14"/>
      <c r="G32" s="14"/>
      <c r="H32" s="14"/>
      <c r="I32" s="14"/>
      <c r="J32" s="14"/>
      <c r="K32" s="14"/>
      <c r="L32" s="14"/>
      <c r="M32" s="14"/>
      <c r="N32" s="14"/>
      <c r="O32" s="14"/>
      <c r="P32" s="14"/>
    </row>
    <row r="33" spans="1:16">
      <c r="A33" s="363"/>
      <c r="B33" s="363"/>
      <c r="C33" s="363"/>
      <c r="D33" s="363"/>
      <c r="E33" s="363"/>
      <c r="F33" s="363"/>
      <c r="G33" s="363"/>
      <c r="H33" s="363"/>
      <c r="I33" s="363"/>
      <c r="J33" s="363"/>
      <c r="K33" s="363"/>
      <c r="L33" s="363"/>
      <c r="M33" s="363"/>
      <c r="N33" s="363"/>
      <c r="O33" s="363"/>
      <c r="P33" s="363"/>
    </row>
  </sheetData>
  <sheetProtection algorithmName="SHA-512" hashValue="WnRKRFSEi91bxHsX85YY7y1u14P5Loh/Jwjl3s9ZyyX7ysewtqPWsxthSmofcYYsufTgSZDLn14AM6q4Id1RrQ==" saltValue="JL2tFDQiQ9CrIYfE1xe/GA==" spinCount="100000" sheet="1" objects="1" scenarios="1"/>
  <mergeCells count="51">
    <mergeCell ref="AA12:AA13"/>
    <mergeCell ref="AA16:AA20"/>
    <mergeCell ref="AA22:AA26"/>
    <mergeCell ref="A14:A15"/>
    <mergeCell ref="D5:D6"/>
    <mergeCell ref="D12:D13"/>
    <mergeCell ref="A33:P33"/>
    <mergeCell ref="C16:C20"/>
    <mergeCell ref="D16:D20"/>
    <mergeCell ref="A22:A27"/>
    <mergeCell ref="B22:B26"/>
    <mergeCell ref="C22:C26"/>
    <mergeCell ref="D22:D26"/>
    <mergeCell ref="A16:A21"/>
    <mergeCell ref="B16:B20"/>
    <mergeCell ref="A28:A31"/>
    <mergeCell ref="B28:B31"/>
    <mergeCell ref="C28:C31"/>
    <mergeCell ref="D28:D31"/>
    <mergeCell ref="A2:P2"/>
    <mergeCell ref="A1:P1"/>
    <mergeCell ref="A8:A10"/>
    <mergeCell ref="A11:A13"/>
    <mergeCell ref="B12:B13"/>
    <mergeCell ref="G3:G4"/>
    <mergeCell ref="H3:H4"/>
    <mergeCell ref="I3:I4"/>
    <mergeCell ref="J3:P3"/>
    <mergeCell ref="A5:A7"/>
    <mergeCell ref="B5:B6"/>
    <mergeCell ref="C5:C6"/>
    <mergeCell ref="F3:F4"/>
    <mergeCell ref="E5:E6"/>
    <mergeCell ref="A3:A4"/>
    <mergeCell ref="B3:B4"/>
    <mergeCell ref="C3:C4"/>
    <mergeCell ref="D3:D4"/>
    <mergeCell ref="E3:E4"/>
    <mergeCell ref="AB28:AB31"/>
    <mergeCell ref="AB3:AB4"/>
    <mergeCell ref="AB5:AB6"/>
    <mergeCell ref="AB12:AB13"/>
    <mergeCell ref="AB16:AB20"/>
    <mergeCell ref="AB22:AB26"/>
    <mergeCell ref="Q3:Q4"/>
    <mergeCell ref="R3:R4"/>
    <mergeCell ref="S3:Y3"/>
    <mergeCell ref="Z3:Z4"/>
    <mergeCell ref="AA3:AA4"/>
    <mergeCell ref="AA28:AA31"/>
    <mergeCell ref="AA5:AA6"/>
  </mergeCells>
  <pageMargins left="0.7" right="0.7" top="0.75" bottom="0.75" header="0.3" footer="0.3"/>
  <pageSetup orientation="portrait" horizontalDpi="1200" verticalDpi="1200" r:id="rId1"/>
  <ignoredErrors>
    <ignoredError sqref="Z14 Z21 Z27 Z31 AA28 Z8 AA7 AA22 Z5 Z6 Z7 T7:Y7 Z13 Z16 Z17 Z18 Z19 Z20 Z22 Z24 Z25 Z26 Z28 Z29 Z30 T26:Y26 T24:X24"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Hoja2!$A$1:$A$3</xm:f>
          </x14:formula1>
          <xm:sqref>E5:E31</xm:sqref>
        </x14:dataValidation>
        <x14:dataValidation type="list" allowBlank="1" showInputMessage="1" showErrorMessage="1" xr:uid="{00000000-0002-0000-0200-000001000000}">
          <x14:formula1>
            <xm:f>Hoja2!$C$15:$C$17</xm:f>
          </x14:formula1>
          <xm:sqref>G5:G31</xm:sqref>
        </x14:dataValidation>
        <x14:dataValidation type="list" allowBlank="1" showInputMessage="1" showErrorMessage="1" xr:uid="{00000000-0002-0000-0200-000002000000}">
          <x14:formula1>
            <xm:f>Hoja2!$E$15:$E$26</xm:f>
          </x14:formula1>
          <xm:sqref>AB7:AB21 AB27:AB31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31"/>
  <sheetViews>
    <sheetView zoomScale="80" zoomScaleNormal="80" zoomScalePageLayoutView="50" workbookViewId="0">
      <selection sqref="A1:P1"/>
    </sheetView>
  </sheetViews>
  <sheetFormatPr defaultColWidth="11" defaultRowHeight="15.75"/>
  <cols>
    <col min="1" max="1" width="28.125" customWidth="1"/>
    <col min="2" max="2" width="46" customWidth="1"/>
    <col min="3" max="3" width="22.125" customWidth="1"/>
    <col min="4" max="4" width="11" customWidth="1"/>
    <col min="5" max="5" width="13.5" customWidth="1"/>
    <col min="6" max="6" width="32.5" customWidth="1"/>
    <col min="7" max="7" width="14.875" customWidth="1"/>
    <col min="8" max="8" width="20" customWidth="1"/>
    <col min="9" max="9" width="18.125" customWidth="1"/>
    <col min="10" max="16" width="6.375" customWidth="1"/>
    <col min="17" max="17" width="18.125" style="105" customWidth="1"/>
    <col min="18" max="18" width="7.875" customWidth="1"/>
    <col min="19" max="25" width="16.125" customWidth="1"/>
    <col min="26" max="27" width="23.625" customWidth="1"/>
    <col min="28" max="28" width="27.625" customWidth="1"/>
  </cols>
  <sheetData>
    <row r="1" spans="1:28" ht="32.1" customHeight="1">
      <c r="A1" s="347" t="s">
        <v>91</v>
      </c>
      <c r="B1" s="347"/>
      <c r="C1" s="347"/>
      <c r="D1" s="347"/>
      <c r="E1" s="347"/>
      <c r="F1" s="347"/>
      <c r="G1" s="347"/>
      <c r="H1" s="347"/>
      <c r="I1" s="347"/>
      <c r="J1" s="347"/>
      <c r="K1" s="347"/>
      <c r="L1" s="347"/>
      <c r="M1" s="347"/>
      <c r="N1" s="347"/>
      <c r="O1" s="347"/>
      <c r="P1" s="347"/>
    </row>
    <row r="2" spans="1:28" ht="16.5" thickBot="1">
      <c r="A2" s="345"/>
      <c r="B2" s="345"/>
      <c r="C2" s="345"/>
      <c r="D2" s="345"/>
      <c r="E2" s="345"/>
      <c r="F2" s="345"/>
      <c r="G2" s="345"/>
      <c r="H2" s="345"/>
      <c r="I2" s="345"/>
      <c r="J2" s="345"/>
      <c r="K2" s="345"/>
      <c r="L2" s="345"/>
      <c r="M2" s="345"/>
      <c r="N2" s="345"/>
      <c r="O2" s="345"/>
      <c r="P2" s="346"/>
      <c r="R2" s="224">
        <f>R5+1</f>
        <v>1.04</v>
      </c>
    </row>
    <row r="3" spans="1:28" ht="22.5" customHeight="1">
      <c r="A3" s="361" t="s">
        <v>92</v>
      </c>
      <c r="B3" s="324" t="s">
        <v>93</v>
      </c>
      <c r="C3" s="324" t="s">
        <v>94</v>
      </c>
      <c r="D3" s="324" t="s">
        <v>35</v>
      </c>
      <c r="E3" s="326" t="s">
        <v>95</v>
      </c>
      <c r="F3" s="326" t="s">
        <v>96</v>
      </c>
      <c r="G3" s="324" t="s">
        <v>97</v>
      </c>
      <c r="H3" s="324" t="s">
        <v>98</v>
      </c>
      <c r="I3" s="326" t="s">
        <v>99</v>
      </c>
      <c r="J3" s="356" t="s">
        <v>100</v>
      </c>
      <c r="K3" s="356"/>
      <c r="L3" s="356"/>
      <c r="M3" s="356"/>
      <c r="N3" s="356"/>
      <c r="O3" s="356"/>
      <c r="P3" s="356"/>
      <c r="Q3" s="334" t="s">
        <v>101</v>
      </c>
      <c r="R3" s="336" t="s">
        <v>102</v>
      </c>
      <c r="S3" s="338" t="s">
        <v>103</v>
      </c>
      <c r="T3" s="338"/>
      <c r="U3" s="338"/>
      <c r="V3" s="338"/>
      <c r="W3" s="338"/>
      <c r="X3" s="338"/>
      <c r="Y3" s="392"/>
      <c r="Z3" s="339" t="s">
        <v>104</v>
      </c>
      <c r="AA3" s="394" t="s">
        <v>105</v>
      </c>
      <c r="AB3" s="377" t="s">
        <v>2</v>
      </c>
    </row>
    <row r="4" spans="1:28" ht="22.5" customHeight="1" thickBot="1">
      <c r="A4" s="362"/>
      <c r="B4" s="325"/>
      <c r="C4" s="325"/>
      <c r="D4" s="325"/>
      <c r="E4" s="324"/>
      <c r="F4" s="324"/>
      <c r="G4" s="325"/>
      <c r="H4" s="325"/>
      <c r="I4" s="324"/>
      <c r="J4" s="1">
        <v>2021</v>
      </c>
      <c r="K4" s="1">
        <v>2022</v>
      </c>
      <c r="L4" s="1">
        <v>2023</v>
      </c>
      <c r="M4" s="1">
        <v>2024</v>
      </c>
      <c r="N4" s="1">
        <v>2025</v>
      </c>
      <c r="O4" s="1">
        <v>2026</v>
      </c>
      <c r="P4" s="1">
        <v>2027</v>
      </c>
      <c r="Q4" s="390"/>
      <c r="R4" s="391"/>
      <c r="S4" s="90">
        <v>2021</v>
      </c>
      <c r="T4" s="90">
        <v>2022</v>
      </c>
      <c r="U4" s="90">
        <v>2023</v>
      </c>
      <c r="V4" s="90">
        <v>2024</v>
      </c>
      <c r="W4" s="90">
        <v>2025</v>
      </c>
      <c r="X4" s="90">
        <v>2026</v>
      </c>
      <c r="Y4" s="91">
        <v>2027</v>
      </c>
      <c r="Z4" s="393"/>
      <c r="AA4" s="395"/>
      <c r="AB4" s="378"/>
    </row>
    <row r="5" spans="1:28" ht="54.75" customHeight="1">
      <c r="A5" s="348" t="s">
        <v>201</v>
      </c>
      <c r="B5" s="386" t="s">
        <v>202</v>
      </c>
      <c r="C5" s="387" t="s">
        <v>203</v>
      </c>
      <c r="D5" s="387" t="s">
        <v>204</v>
      </c>
      <c r="E5" s="11" t="s">
        <v>119</v>
      </c>
      <c r="F5" s="246" t="s">
        <v>205</v>
      </c>
      <c r="G5" s="11" t="s">
        <v>112</v>
      </c>
      <c r="H5" s="13" t="s">
        <v>113</v>
      </c>
      <c r="I5" s="11">
        <v>6</v>
      </c>
      <c r="J5" s="11">
        <v>8</v>
      </c>
      <c r="K5" s="11">
        <v>12</v>
      </c>
      <c r="L5" s="11">
        <v>14</v>
      </c>
      <c r="M5" s="11">
        <v>16</v>
      </c>
      <c r="N5" s="11">
        <v>18</v>
      </c>
      <c r="O5" s="11">
        <v>20</v>
      </c>
      <c r="P5" s="120">
        <v>22</v>
      </c>
      <c r="Q5" s="92">
        <v>40000000</v>
      </c>
      <c r="R5" s="93">
        <v>0.04</v>
      </c>
      <c r="S5" s="97">
        <f>IF(J5&lt;&gt;0,Q5,0)</f>
        <v>40000000</v>
      </c>
      <c r="T5" s="97">
        <f t="shared" ref="T5:T29" si="0">IF(K5&lt;&gt;0,(IF(S5&lt;&gt;0,(S5*$R$2),($Q5*$R$2))),0)</f>
        <v>41600000</v>
      </c>
      <c r="U5" s="97">
        <f t="shared" ref="U5:U29" si="1">IF(L5&lt;&gt;0,(IF(T5&lt;&gt;0,(T5*$R$2),(($Q5*$R$2)*$R$2))),0)</f>
        <v>43264000</v>
      </c>
      <c r="V5" s="97">
        <f t="shared" ref="V5:V29" si="2">IF(M5&lt;&gt;0,(IF(U5&lt;&gt;0,(U5*$R$2),(($Q5*$R$2)*$R$2*$R$2))),0)</f>
        <v>44994560</v>
      </c>
      <c r="W5" s="97">
        <f t="shared" ref="W5:W29" si="3">IF(N5&lt;&gt;0,(IF(V5&lt;&gt;0,(V5*$R$2),(($Q5*$R$2)*$R$2*$R$2*$R$2))),0)</f>
        <v>46794342.399999999</v>
      </c>
      <c r="X5" s="97">
        <f t="shared" ref="X5:X29" si="4">IF(O5&lt;&gt;0,(IF(W5&lt;&gt;0,(W5*$R$2),(($Q5*$R$2)*$R$2*$R$2*$R$2*$R$2))),0)</f>
        <v>48666116.096000001</v>
      </c>
      <c r="Y5" s="97">
        <f t="shared" ref="Y5:Y29" si="5">IF(P5&lt;&gt;0,(IF(X5&lt;&gt;0,(X5*$R$2),(($Q5*$R$2)*$R$2*$R$2*$R$2*$R$2*$R$2))),0)</f>
        <v>50612760.739840001</v>
      </c>
      <c r="Z5" s="94">
        <f>SUM(S5:Y5)</f>
        <v>315931779.23583996</v>
      </c>
      <c r="AA5" s="341">
        <f>SUM(Z5:Z6)</f>
        <v>315931779.23583996</v>
      </c>
      <c r="AB5" s="333" t="s">
        <v>6</v>
      </c>
    </row>
    <row r="6" spans="1:28" ht="56.25" customHeight="1">
      <c r="A6" s="349"/>
      <c r="B6" s="381"/>
      <c r="C6" s="382"/>
      <c r="D6" s="382"/>
      <c r="E6" s="45" t="s">
        <v>119</v>
      </c>
      <c r="F6" s="232" t="s">
        <v>206</v>
      </c>
      <c r="G6" s="45" t="s">
        <v>113</v>
      </c>
      <c r="H6" s="71" t="s">
        <v>113</v>
      </c>
      <c r="I6" s="45">
        <v>1</v>
      </c>
      <c r="J6" s="45">
        <v>2</v>
      </c>
      <c r="K6" s="45">
        <v>3</v>
      </c>
      <c r="L6" s="45">
        <v>4</v>
      </c>
      <c r="M6" s="45">
        <v>5</v>
      </c>
      <c r="N6" s="45">
        <v>6</v>
      </c>
      <c r="O6" s="45">
        <v>7</v>
      </c>
      <c r="P6" s="122">
        <v>8</v>
      </c>
      <c r="Q6" s="95">
        <v>0</v>
      </c>
      <c r="R6" s="96">
        <v>0.04</v>
      </c>
      <c r="S6" s="97">
        <f t="shared" ref="S6:S29" si="6">IF(J6&lt;&gt;0,Q6,0)</f>
        <v>0</v>
      </c>
      <c r="T6" s="97">
        <f t="shared" si="0"/>
        <v>0</v>
      </c>
      <c r="U6" s="97">
        <f t="shared" si="1"/>
        <v>0</v>
      </c>
      <c r="V6" s="97">
        <f t="shared" si="2"/>
        <v>0</v>
      </c>
      <c r="W6" s="97">
        <f t="shared" si="3"/>
        <v>0</v>
      </c>
      <c r="X6" s="97">
        <f t="shared" si="4"/>
        <v>0</v>
      </c>
      <c r="Y6" s="97">
        <f t="shared" si="5"/>
        <v>0</v>
      </c>
      <c r="Z6" s="98">
        <f t="shared" ref="Z6:Z29" si="7">SUM(S6:Y6)</f>
        <v>0</v>
      </c>
      <c r="AA6" s="299"/>
      <c r="AB6" s="332"/>
    </row>
    <row r="7" spans="1:28" ht="82.5" customHeight="1">
      <c r="A7" s="349"/>
      <c r="B7" s="381" t="s">
        <v>207</v>
      </c>
      <c r="C7" s="382" t="s">
        <v>208</v>
      </c>
      <c r="D7" s="382" t="s">
        <v>204</v>
      </c>
      <c r="E7" s="45" t="s">
        <v>119</v>
      </c>
      <c r="F7" s="232" t="s">
        <v>209</v>
      </c>
      <c r="G7" s="45" t="s">
        <v>113</v>
      </c>
      <c r="H7" s="71" t="s">
        <v>113</v>
      </c>
      <c r="I7" s="45">
        <v>4</v>
      </c>
      <c r="J7" s="45">
        <v>6</v>
      </c>
      <c r="K7" s="45">
        <v>8</v>
      </c>
      <c r="L7" s="45">
        <v>10</v>
      </c>
      <c r="M7" s="45">
        <v>12</v>
      </c>
      <c r="N7" s="45">
        <v>14</v>
      </c>
      <c r="O7" s="45">
        <v>16</v>
      </c>
      <c r="P7" s="122">
        <v>18</v>
      </c>
      <c r="Q7" s="95">
        <v>0</v>
      </c>
      <c r="R7" s="96">
        <v>0.04</v>
      </c>
      <c r="S7" s="97">
        <f t="shared" si="6"/>
        <v>0</v>
      </c>
      <c r="T7" s="97">
        <f t="shared" si="0"/>
        <v>0</v>
      </c>
      <c r="U7" s="97">
        <f t="shared" si="1"/>
        <v>0</v>
      </c>
      <c r="V7" s="97">
        <f t="shared" si="2"/>
        <v>0</v>
      </c>
      <c r="W7" s="97">
        <f t="shared" si="3"/>
        <v>0</v>
      </c>
      <c r="X7" s="97">
        <f t="shared" si="4"/>
        <v>0</v>
      </c>
      <c r="Y7" s="97">
        <f t="shared" si="5"/>
        <v>0</v>
      </c>
      <c r="Z7" s="98">
        <f t="shared" si="7"/>
        <v>0</v>
      </c>
      <c r="AA7" s="299">
        <f>SUM(Z7:Z8)</f>
        <v>394914724.04480004</v>
      </c>
      <c r="AB7" s="333" t="s">
        <v>6</v>
      </c>
    </row>
    <row r="8" spans="1:28" ht="71.25" customHeight="1">
      <c r="A8" s="349"/>
      <c r="B8" s="381"/>
      <c r="C8" s="382"/>
      <c r="D8" s="382"/>
      <c r="E8" s="45" t="s">
        <v>119</v>
      </c>
      <c r="F8" s="232" t="s">
        <v>210</v>
      </c>
      <c r="G8" s="45" t="s">
        <v>113</v>
      </c>
      <c r="H8" s="71" t="s">
        <v>113</v>
      </c>
      <c r="I8" s="45">
        <v>2</v>
      </c>
      <c r="J8" s="45">
        <v>4</v>
      </c>
      <c r="K8" s="45">
        <v>4</v>
      </c>
      <c r="L8" s="45">
        <v>5</v>
      </c>
      <c r="M8" s="45">
        <v>5</v>
      </c>
      <c r="N8" s="45">
        <v>6</v>
      </c>
      <c r="O8" s="45">
        <v>6</v>
      </c>
      <c r="P8" s="122">
        <v>7</v>
      </c>
      <c r="Q8" s="95">
        <v>50000000</v>
      </c>
      <c r="R8" s="96">
        <v>0.04</v>
      </c>
      <c r="S8" s="97">
        <f t="shared" si="6"/>
        <v>50000000</v>
      </c>
      <c r="T8" s="97">
        <f t="shared" si="0"/>
        <v>52000000</v>
      </c>
      <c r="U8" s="97">
        <f t="shared" si="1"/>
        <v>54080000</v>
      </c>
      <c r="V8" s="97">
        <f t="shared" si="2"/>
        <v>56243200</v>
      </c>
      <c r="W8" s="97">
        <f t="shared" si="3"/>
        <v>58492928</v>
      </c>
      <c r="X8" s="97">
        <f t="shared" si="4"/>
        <v>60832645.120000005</v>
      </c>
      <c r="Y8" s="97">
        <f t="shared" si="5"/>
        <v>63265950.924800009</v>
      </c>
      <c r="Z8" s="98">
        <f t="shared" si="7"/>
        <v>394914724.04480004</v>
      </c>
      <c r="AA8" s="299"/>
      <c r="AB8" s="332"/>
    </row>
    <row r="9" spans="1:28" ht="55.5" customHeight="1">
      <c r="A9" s="349"/>
      <c r="B9" s="381" t="s">
        <v>211</v>
      </c>
      <c r="C9" s="382" t="s">
        <v>212</v>
      </c>
      <c r="D9" s="382" t="s">
        <v>204</v>
      </c>
      <c r="E9" s="45" t="s">
        <v>119</v>
      </c>
      <c r="F9" s="232" t="s">
        <v>213</v>
      </c>
      <c r="G9" s="45" t="s">
        <v>112</v>
      </c>
      <c r="H9" s="71" t="s">
        <v>113</v>
      </c>
      <c r="I9" s="45">
        <v>4</v>
      </c>
      <c r="J9" s="45">
        <v>6</v>
      </c>
      <c r="K9" s="45">
        <v>6</v>
      </c>
      <c r="L9" s="45">
        <v>8</v>
      </c>
      <c r="M9" s="45">
        <v>8</v>
      </c>
      <c r="N9" s="45">
        <v>10</v>
      </c>
      <c r="O9" s="45">
        <v>10</v>
      </c>
      <c r="P9" s="122">
        <v>12</v>
      </c>
      <c r="Q9" s="95">
        <v>0</v>
      </c>
      <c r="R9" s="96">
        <v>0.04</v>
      </c>
      <c r="S9" s="97">
        <f t="shared" si="6"/>
        <v>0</v>
      </c>
      <c r="T9" s="97">
        <f t="shared" si="0"/>
        <v>0</v>
      </c>
      <c r="U9" s="97">
        <f t="shared" si="1"/>
        <v>0</v>
      </c>
      <c r="V9" s="97">
        <f t="shared" si="2"/>
        <v>0</v>
      </c>
      <c r="W9" s="97">
        <f t="shared" si="3"/>
        <v>0</v>
      </c>
      <c r="X9" s="97">
        <f t="shared" si="4"/>
        <v>0</v>
      </c>
      <c r="Y9" s="97">
        <f t="shared" si="5"/>
        <v>0</v>
      </c>
      <c r="Z9" s="98">
        <f t="shared" si="7"/>
        <v>0</v>
      </c>
      <c r="AA9" s="299">
        <f>SUM(Z9:Z12)</f>
        <v>473897668.85376</v>
      </c>
      <c r="AB9" s="333" t="s">
        <v>6</v>
      </c>
    </row>
    <row r="10" spans="1:28" ht="87.75" customHeight="1">
      <c r="A10" s="349"/>
      <c r="B10" s="381"/>
      <c r="C10" s="382"/>
      <c r="D10" s="382"/>
      <c r="E10" s="45" t="s">
        <v>119</v>
      </c>
      <c r="F10" s="232" t="s">
        <v>214</v>
      </c>
      <c r="G10" s="45" t="s">
        <v>112</v>
      </c>
      <c r="H10" s="71" t="s">
        <v>113</v>
      </c>
      <c r="I10" s="45">
        <v>0</v>
      </c>
      <c r="J10" s="45">
        <v>1</v>
      </c>
      <c r="K10" s="45">
        <v>2</v>
      </c>
      <c r="L10" s="45">
        <v>3</v>
      </c>
      <c r="M10" s="45">
        <v>4</v>
      </c>
      <c r="N10" s="45">
        <v>5</v>
      </c>
      <c r="O10" s="45">
        <v>6</v>
      </c>
      <c r="P10" s="122">
        <v>7</v>
      </c>
      <c r="Q10" s="95">
        <v>0</v>
      </c>
      <c r="R10" s="96">
        <v>0.04</v>
      </c>
      <c r="S10" s="97">
        <f t="shared" si="6"/>
        <v>0</v>
      </c>
      <c r="T10" s="97">
        <f t="shared" si="0"/>
        <v>0</v>
      </c>
      <c r="U10" s="97">
        <f t="shared" si="1"/>
        <v>0</v>
      </c>
      <c r="V10" s="97">
        <f t="shared" si="2"/>
        <v>0</v>
      </c>
      <c r="W10" s="97">
        <f t="shared" si="3"/>
        <v>0</v>
      </c>
      <c r="X10" s="97">
        <f t="shared" si="4"/>
        <v>0</v>
      </c>
      <c r="Y10" s="97">
        <f t="shared" si="5"/>
        <v>0</v>
      </c>
      <c r="Z10" s="98">
        <f t="shared" si="7"/>
        <v>0</v>
      </c>
      <c r="AA10" s="299"/>
      <c r="AB10" s="327"/>
    </row>
    <row r="11" spans="1:28" ht="72.75" customHeight="1">
      <c r="A11" s="349"/>
      <c r="B11" s="381"/>
      <c r="C11" s="382"/>
      <c r="D11" s="382"/>
      <c r="E11" s="45" t="s">
        <v>119</v>
      </c>
      <c r="F11" s="232" t="s">
        <v>215</v>
      </c>
      <c r="G11" s="45" t="s">
        <v>113</v>
      </c>
      <c r="H11" s="71" t="s">
        <v>113</v>
      </c>
      <c r="I11" s="45">
        <v>0</v>
      </c>
      <c r="J11" s="45">
        <v>1</v>
      </c>
      <c r="K11" s="45">
        <v>2</v>
      </c>
      <c r="L11" s="45">
        <v>3</v>
      </c>
      <c r="M11" s="45">
        <v>4</v>
      </c>
      <c r="N11" s="45">
        <v>5</v>
      </c>
      <c r="O11" s="45">
        <v>6</v>
      </c>
      <c r="P11" s="122">
        <v>7</v>
      </c>
      <c r="Q11" s="95">
        <v>30000000</v>
      </c>
      <c r="R11" s="96">
        <v>0.04</v>
      </c>
      <c r="S11" s="97">
        <f t="shared" si="6"/>
        <v>30000000</v>
      </c>
      <c r="T11" s="97">
        <f t="shared" si="0"/>
        <v>31200000</v>
      </c>
      <c r="U11" s="97">
        <f t="shared" si="1"/>
        <v>32448000</v>
      </c>
      <c r="V11" s="97">
        <f t="shared" si="2"/>
        <v>33745920</v>
      </c>
      <c r="W11" s="97">
        <f t="shared" si="3"/>
        <v>35095756.800000004</v>
      </c>
      <c r="X11" s="97">
        <f t="shared" si="4"/>
        <v>36499587.072000004</v>
      </c>
      <c r="Y11" s="97">
        <f t="shared" si="5"/>
        <v>37959570.554880008</v>
      </c>
      <c r="Z11" s="98">
        <f t="shared" si="7"/>
        <v>236948834.42688</v>
      </c>
      <c r="AA11" s="299"/>
      <c r="AB11" s="327"/>
    </row>
    <row r="12" spans="1:28" ht="75.75" customHeight="1">
      <c r="A12" s="349"/>
      <c r="B12" s="381"/>
      <c r="C12" s="382"/>
      <c r="D12" s="382"/>
      <c r="E12" s="45" t="s">
        <v>119</v>
      </c>
      <c r="F12" s="232" t="s">
        <v>216</v>
      </c>
      <c r="G12" s="45" t="s">
        <v>112</v>
      </c>
      <c r="H12" s="71" t="s">
        <v>113</v>
      </c>
      <c r="I12" s="45">
        <v>0</v>
      </c>
      <c r="J12" s="45">
        <v>1</v>
      </c>
      <c r="K12" s="45">
        <v>2</v>
      </c>
      <c r="L12" s="45">
        <v>3</v>
      </c>
      <c r="M12" s="45">
        <v>4</v>
      </c>
      <c r="N12" s="45">
        <v>5</v>
      </c>
      <c r="O12" s="45">
        <v>6</v>
      </c>
      <c r="P12" s="122">
        <v>7</v>
      </c>
      <c r="Q12" s="95">
        <v>30000000</v>
      </c>
      <c r="R12" s="96">
        <v>0.04</v>
      </c>
      <c r="S12" s="97">
        <f t="shared" si="6"/>
        <v>30000000</v>
      </c>
      <c r="T12" s="97">
        <f t="shared" si="0"/>
        <v>31200000</v>
      </c>
      <c r="U12" s="97">
        <f t="shared" si="1"/>
        <v>32448000</v>
      </c>
      <c r="V12" s="97">
        <f t="shared" si="2"/>
        <v>33745920</v>
      </c>
      <c r="W12" s="97">
        <f t="shared" si="3"/>
        <v>35095756.800000004</v>
      </c>
      <c r="X12" s="97">
        <f t="shared" si="4"/>
        <v>36499587.072000004</v>
      </c>
      <c r="Y12" s="97">
        <f t="shared" si="5"/>
        <v>37959570.554880008</v>
      </c>
      <c r="Z12" s="98">
        <f t="shared" si="7"/>
        <v>236948834.42688</v>
      </c>
      <c r="AA12" s="299"/>
      <c r="AB12" s="332"/>
    </row>
    <row r="13" spans="1:28" ht="90" customHeight="1">
      <c r="A13" s="349"/>
      <c r="B13" s="383" t="s">
        <v>217</v>
      </c>
      <c r="C13" s="45" t="s">
        <v>218</v>
      </c>
      <c r="D13" s="379" t="s">
        <v>204</v>
      </c>
      <c r="E13" s="45" t="s">
        <v>119</v>
      </c>
      <c r="F13" s="232" t="s">
        <v>219</v>
      </c>
      <c r="G13" s="45" t="s">
        <v>113</v>
      </c>
      <c r="H13" s="71" t="s">
        <v>113</v>
      </c>
      <c r="I13" s="45">
        <v>3</v>
      </c>
      <c r="J13" s="45">
        <v>4</v>
      </c>
      <c r="K13" s="45">
        <v>5</v>
      </c>
      <c r="L13" s="45">
        <v>6</v>
      </c>
      <c r="M13" s="45">
        <v>7</v>
      </c>
      <c r="N13" s="45">
        <v>8</v>
      </c>
      <c r="O13" s="45">
        <v>9</v>
      </c>
      <c r="P13" s="122">
        <v>10</v>
      </c>
      <c r="Q13" s="95">
        <v>20000000</v>
      </c>
      <c r="R13" s="96">
        <v>0.04</v>
      </c>
      <c r="S13" s="97">
        <f t="shared" si="6"/>
        <v>20000000</v>
      </c>
      <c r="T13" s="97">
        <f t="shared" si="0"/>
        <v>20800000</v>
      </c>
      <c r="U13" s="97">
        <f t="shared" si="1"/>
        <v>21632000</v>
      </c>
      <c r="V13" s="97">
        <f t="shared" si="2"/>
        <v>22497280</v>
      </c>
      <c r="W13" s="97">
        <f t="shared" si="3"/>
        <v>23397171.199999999</v>
      </c>
      <c r="X13" s="97">
        <f t="shared" si="4"/>
        <v>24333058.048</v>
      </c>
      <c r="Y13" s="97">
        <f t="shared" si="5"/>
        <v>25306380.36992</v>
      </c>
      <c r="Z13" s="98">
        <f t="shared" si="7"/>
        <v>157965889.61791998</v>
      </c>
      <c r="AA13" s="299">
        <f>SUM(Z13:Z14)</f>
        <v>394914724.04479998</v>
      </c>
      <c r="AB13" s="333" t="s">
        <v>6</v>
      </c>
    </row>
    <row r="14" spans="1:28" ht="96" customHeight="1" thickBot="1">
      <c r="A14" s="350"/>
      <c r="B14" s="388"/>
      <c r="C14" s="9" t="s">
        <v>203</v>
      </c>
      <c r="D14" s="380"/>
      <c r="E14" s="9" t="s">
        <v>119</v>
      </c>
      <c r="F14" s="235" t="s">
        <v>220</v>
      </c>
      <c r="G14" s="9" t="s">
        <v>113</v>
      </c>
      <c r="H14" s="72" t="s">
        <v>113</v>
      </c>
      <c r="I14" s="9">
        <v>2</v>
      </c>
      <c r="J14" s="9">
        <v>3</v>
      </c>
      <c r="K14" s="9">
        <v>4</v>
      </c>
      <c r="L14" s="9">
        <v>5</v>
      </c>
      <c r="M14" s="9">
        <v>6</v>
      </c>
      <c r="N14" s="9">
        <v>7</v>
      </c>
      <c r="O14" s="9">
        <v>8</v>
      </c>
      <c r="P14" s="116">
        <v>9</v>
      </c>
      <c r="Q14" s="99">
        <v>30000000</v>
      </c>
      <c r="R14" s="100">
        <v>0.04</v>
      </c>
      <c r="S14" s="103">
        <f t="shared" si="6"/>
        <v>30000000</v>
      </c>
      <c r="T14" s="103">
        <f t="shared" si="0"/>
        <v>31200000</v>
      </c>
      <c r="U14" s="103">
        <f t="shared" si="1"/>
        <v>32448000</v>
      </c>
      <c r="V14" s="103">
        <f t="shared" si="2"/>
        <v>33745920</v>
      </c>
      <c r="W14" s="103">
        <f t="shared" si="3"/>
        <v>35095756.800000004</v>
      </c>
      <c r="X14" s="103">
        <f t="shared" si="4"/>
        <v>36499587.072000004</v>
      </c>
      <c r="Y14" s="103">
        <f t="shared" si="5"/>
        <v>37959570.554880008</v>
      </c>
      <c r="Z14" s="104">
        <f t="shared" si="7"/>
        <v>236948834.42688</v>
      </c>
      <c r="AA14" s="389"/>
      <c r="AB14" s="328"/>
    </row>
    <row r="15" spans="1:28" ht="118.5" customHeight="1">
      <c r="A15" s="348" t="s">
        <v>221</v>
      </c>
      <c r="B15" s="386" t="s">
        <v>222</v>
      </c>
      <c r="C15" s="387" t="s">
        <v>203</v>
      </c>
      <c r="D15" s="387" t="s">
        <v>124</v>
      </c>
      <c r="E15" s="11" t="s">
        <v>119</v>
      </c>
      <c r="F15" s="246" t="s">
        <v>223</v>
      </c>
      <c r="G15" s="11" t="s">
        <v>112</v>
      </c>
      <c r="H15" s="13" t="s">
        <v>113</v>
      </c>
      <c r="I15" s="11">
        <v>6</v>
      </c>
      <c r="J15" s="11">
        <v>10</v>
      </c>
      <c r="K15" s="11">
        <v>14</v>
      </c>
      <c r="L15" s="11">
        <v>16</v>
      </c>
      <c r="M15" s="11">
        <v>20</v>
      </c>
      <c r="N15" s="11">
        <v>24</v>
      </c>
      <c r="O15" s="11">
        <v>28</v>
      </c>
      <c r="P15" s="120">
        <v>32</v>
      </c>
      <c r="Q15" s="92">
        <v>0</v>
      </c>
      <c r="R15" s="93">
        <v>0.04</v>
      </c>
      <c r="S15" s="128">
        <f t="shared" si="6"/>
        <v>0</v>
      </c>
      <c r="T15" s="128">
        <f t="shared" si="0"/>
        <v>0</v>
      </c>
      <c r="U15" s="128">
        <f t="shared" si="1"/>
        <v>0</v>
      </c>
      <c r="V15" s="128">
        <f t="shared" si="2"/>
        <v>0</v>
      </c>
      <c r="W15" s="128">
        <f t="shared" si="3"/>
        <v>0</v>
      </c>
      <c r="X15" s="128">
        <f t="shared" si="4"/>
        <v>0</v>
      </c>
      <c r="Y15" s="128">
        <f t="shared" si="5"/>
        <v>0</v>
      </c>
      <c r="Z15" s="129">
        <f t="shared" si="7"/>
        <v>0</v>
      </c>
      <c r="AA15" s="304">
        <f>SUM(Z15:Z16)</f>
        <v>0</v>
      </c>
      <c r="AB15" s="327" t="s">
        <v>15</v>
      </c>
    </row>
    <row r="16" spans="1:28" ht="72.75" customHeight="1">
      <c r="A16" s="349"/>
      <c r="B16" s="381"/>
      <c r="C16" s="382"/>
      <c r="D16" s="382"/>
      <c r="E16" s="45" t="s">
        <v>119</v>
      </c>
      <c r="F16" s="232" t="s">
        <v>224</v>
      </c>
      <c r="G16" s="45" t="s">
        <v>112</v>
      </c>
      <c r="H16" s="71" t="s">
        <v>113</v>
      </c>
      <c r="I16" s="45">
        <v>6</v>
      </c>
      <c r="J16" s="45">
        <v>10</v>
      </c>
      <c r="K16" s="45">
        <v>14</v>
      </c>
      <c r="L16" s="45">
        <v>16</v>
      </c>
      <c r="M16" s="45">
        <v>20</v>
      </c>
      <c r="N16" s="45">
        <v>24</v>
      </c>
      <c r="O16" s="45">
        <v>28</v>
      </c>
      <c r="P16" s="122">
        <v>32</v>
      </c>
      <c r="Q16" s="95">
        <v>0</v>
      </c>
      <c r="R16" s="96">
        <v>0.04</v>
      </c>
      <c r="S16" s="97">
        <f t="shared" si="6"/>
        <v>0</v>
      </c>
      <c r="T16" s="97">
        <f t="shared" si="0"/>
        <v>0</v>
      </c>
      <c r="U16" s="97">
        <f t="shared" si="1"/>
        <v>0</v>
      </c>
      <c r="V16" s="97">
        <f t="shared" si="2"/>
        <v>0</v>
      </c>
      <c r="W16" s="97">
        <f t="shared" si="3"/>
        <v>0</v>
      </c>
      <c r="X16" s="97">
        <f t="shared" si="4"/>
        <v>0</v>
      </c>
      <c r="Y16" s="97">
        <f t="shared" si="5"/>
        <v>0</v>
      </c>
      <c r="Z16" s="98">
        <f t="shared" si="7"/>
        <v>0</v>
      </c>
      <c r="AA16" s="299"/>
      <c r="AB16" s="332"/>
    </row>
    <row r="17" spans="1:28" ht="55.5" customHeight="1">
      <c r="A17" s="349"/>
      <c r="B17" s="381" t="s">
        <v>225</v>
      </c>
      <c r="C17" s="382" t="s">
        <v>226</v>
      </c>
      <c r="D17" s="382" t="s">
        <v>124</v>
      </c>
      <c r="E17" s="45" t="s">
        <v>119</v>
      </c>
      <c r="F17" s="232" t="s">
        <v>227</v>
      </c>
      <c r="G17" s="45" t="s">
        <v>113</v>
      </c>
      <c r="H17" s="71" t="s">
        <v>113</v>
      </c>
      <c r="I17" s="45">
        <v>2</v>
      </c>
      <c r="J17" s="45">
        <v>4</v>
      </c>
      <c r="K17" s="45">
        <v>6</v>
      </c>
      <c r="L17" s="45">
        <v>8</v>
      </c>
      <c r="M17" s="45">
        <v>10</v>
      </c>
      <c r="N17" s="45">
        <v>12</v>
      </c>
      <c r="O17" s="45">
        <v>14</v>
      </c>
      <c r="P17" s="122">
        <v>16</v>
      </c>
      <c r="Q17" s="95">
        <v>0</v>
      </c>
      <c r="R17" s="96">
        <v>0.04</v>
      </c>
      <c r="S17" s="97">
        <f t="shared" si="6"/>
        <v>0</v>
      </c>
      <c r="T17" s="97">
        <f t="shared" si="0"/>
        <v>0</v>
      </c>
      <c r="U17" s="97">
        <f t="shared" si="1"/>
        <v>0</v>
      </c>
      <c r="V17" s="97">
        <f t="shared" si="2"/>
        <v>0</v>
      </c>
      <c r="W17" s="97">
        <f t="shared" si="3"/>
        <v>0</v>
      </c>
      <c r="X17" s="97">
        <f t="shared" si="4"/>
        <v>0</v>
      </c>
      <c r="Y17" s="97">
        <f t="shared" si="5"/>
        <v>0</v>
      </c>
      <c r="Z17" s="98">
        <f t="shared" si="7"/>
        <v>0</v>
      </c>
      <c r="AA17" s="299">
        <f>SUM(Z17:Z19)</f>
        <v>0</v>
      </c>
      <c r="AB17" s="333" t="s">
        <v>15</v>
      </c>
    </row>
    <row r="18" spans="1:28" ht="81.75" customHeight="1">
      <c r="A18" s="349"/>
      <c r="B18" s="381"/>
      <c r="C18" s="382"/>
      <c r="D18" s="382"/>
      <c r="E18" s="45" t="s">
        <v>119</v>
      </c>
      <c r="F18" s="232" t="s">
        <v>228</v>
      </c>
      <c r="G18" s="45" t="s">
        <v>113</v>
      </c>
      <c r="H18" s="71" t="s">
        <v>113</v>
      </c>
      <c r="I18" s="45">
        <v>4</v>
      </c>
      <c r="J18" s="45">
        <v>6</v>
      </c>
      <c r="K18" s="45">
        <v>8</v>
      </c>
      <c r="L18" s="45">
        <v>10</v>
      </c>
      <c r="M18" s="45">
        <v>12</v>
      </c>
      <c r="N18" s="45">
        <v>14</v>
      </c>
      <c r="O18" s="45">
        <v>16</v>
      </c>
      <c r="P18" s="122">
        <v>18</v>
      </c>
      <c r="Q18" s="95">
        <v>0</v>
      </c>
      <c r="R18" s="96">
        <v>0.04</v>
      </c>
      <c r="S18" s="97">
        <f t="shared" si="6"/>
        <v>0</v>
      </c>
      <c r="T18" s="97">
        <f t="shared" si="0"/>
        <v>0</v>
      </c>
      <c r="U18" s="97">
        <f t="shared" si="1"/>
        <v>0</v>
      </c>
      <c r="V18" s="97">
        <f t="shared" si="2"/>
        <v>0</v>
      </c>
      <c r="W18" s="97">
        <f t="shared" si="3"/>
        <v>0</v>
      </c>
      <c r="X18" s="97">
        <f t="shared" si="4"/>
        <v>0</v>
      </c>
      <c r="Y18" s="97">
        <f t="shared" si="5"/>
        <v>0</v>
      </c>
      <c r="Z18" s="98">
        <f t="shared" si="7"/>
        <v>0</v>
      </c>
      <c r="AA18" s="299"/>
      <c r="AB18" s="327"/>
    </row>
    <row r="19" spans="1:28" ht="36" customHeight="1">
      <c r="A19" s="349"/>
      <c r="B19" s="381"/>
      <c r="C19" s="382"/>
      <c r="D19" s="382"/>
      <c r="E19" s="45" t="s">
        <v>119</v>
      </c>
      <c r="F19" s="232" t="s">
        <v>229</v>
      </c>
      <c r="G19" s="45" t="s">
        <v>113</v>
      </c>
      <c r="H19" s="71" t="s">
        <v>113</v>
      </c>
      <c r="I19" s="45">
        <v>2</v>
      </c>
      <c r="J19" s="45">
        <v>3</v>
      </c>
      <c r="K19" s="45">
        <v>4</v>
      </c>
      <c r="L19" s="45">
        <v>5</v>
      </c>
      <c r="M19" s="45">
        <v>6</v>
      </c>
      <c r="N19" s="45">
        <v>7</v>
      </c>
      <c r="O19" s="45">
        <v>8</v>
      </c>
      <c r="P19" s="122">
        <v>9</v>
      </c>
      <c r="Q19" s="95">
        <v>0</v>
      </c>
      <c r="R19" s="96">
        <v>0.04</v>
      </c>
      <c r="S19" s="97">
        <f t="shared" si="6"/>
        <v>0</v>
      </c>
      <c r="T19" s="97">
        <f t="shared" si="0"/>
        <v>0</v>
      </c>
      <c r="U19" s="97">
        <f t="shared" si="1"/>
        <v>0</v>
      </c>
      <c r="V19" s="97">
        <f t="shared" si="2"/>
        <v>0</v>
      </c>
      <c r="W19" s="97">
        <f t="shared" si="3"/>
        <v>0</v>
      </c>
      <c r="X19" s="97">
        <f t="shared" si="4"/>
        <v>0</v>
      </c>
      <c r="Y19" s="97">
        <f t="shared" si="5"/>
        <v>0</v>
      </c>
      <c r="Z19" s="98">
        <f t="shared" si="7"/>
        <v>0</v>
      </c>
      <c r="AA19" s="299"/>
      <c r="AB19" s="332"/>
    </row>
    <row r="20" spans="1:28" ht="43.5" customHeight="1">
      <c r="A20" s="349"/>
      <c r="B20" s="381" t="s">
        <v>230</v>
      </c>
      <c r="C20" s="382" t="s">
        <v>231</v>
      </c>
      <c r="D20" s="382" t="s">
        <v>124</v>
      </c>
      <c r="E20" s="45" t="s">
        <v>119</v>
      </c>
      <c r="F20" s="232" t="s">
        <v>232</v>
      </c>
      <c r="G20" s="45" t="s">
        <v>112</v>
      </c>
      <c r="H20" s="71" t="s">
        <v>113</v>
      </c>
      <c r="I20" s="45">
        <v>37</v>
      </c>
      <c r="J20" s="45">
        <v>37</v>
      </c>
      <c r="K20" s="45">
        <v>37</v>
      </c>
      <c r="L20" s="45">
        <v>38</v>
      </c>
      <c r="M20" s="45">
        <v>38</v>
      </c>
      <c r="N20" s="45">
        <v>39</v>
      </c>
      <c r="O20" s="45">
        <v>39</v>
      </c>
      <c r="P20" s="122">
        <v>40</v>
      </c>
      <c r="Q20" s="95">
        <v>0</v>
      </c>
      <c r="R20" s="96">
        <v>0.04</v>
      </c>
      <c r="S20" s="97">
        <f t="shared" si="6"/>
        <v>0</v>
      </c>
      <c r="T20" s="97">
        <f t="shared" si="0"/>
        <v>0</v>
      </c>
      <c r="U20" s="97">
        <f t="shared" si="1"/>
        <v>0</v>
      </c>
      <c r="V20" s="97">
        <f t="shared" si="2"/>
        <v>0</v>
      </c>
      <c r="W20" s="97">
        <f t="shared" si="3"/>
        <v>0</v>
      </c>
      <c r="X20" s="97">
        <f t="shared" si="4"/>
        <v>0</v>
      </c>
      <c r="Y20" s="97">
        <f t="shared" si="5"/>
        <v>0</v>
      </c>
      <c r="Z20" s="98">
        <f t="shared" si="7"/>
        <v>0</v>
      </c>
      <c r="AA20" s="299">
        <f>SUM(Z20:Z21)</f>
        <v>0</v>
      </c>
      <c r="AB20" s="333" t="s">
        <v>15</v>
      </c>
    </row>
    <row r="21" spans="1:28" ht="43.5" customHeight="1">
      <c r="A21" s="349"/>
      <c r="B21" s="381"/>
      <c r="C21" s="382"/>
      <c r="D21" s="382"/>
      <c r="E21" s="45" t="s">
        <v>119</v>
      </c>
      <c r="F21" s="232" t="s">
        <v>233</v>
      </c>
      <c r="G21" s="45" t="s">
        <v>112</v>
      </c>
      <c r="H21" s="71" t="s">
        <v>113</v>
      </c>
      <c r="I21" s="45">
        <v>8</v>
      </c>
      <c r="J21" s="45">
        <v>10</v>
      </c>
      <c r="K21" s="45">
        <v>14</v>
      </c>
      <c r="L21" s="45">
        <v>18</v>
      </c>
      <c r="M21" s="45">
        <v>22</v>
      </c>
      <c r="N21" s="45">
        <v>26</v>
      </c>
      <c r="O21" s="45">
        <v>30</v>
      </c>
      <c r="P21" s="122">
        <v>34</v>
      </c>
      <c r="Q21" s="95">
        <v>0</v>
      </c>
      <c r="R21" s="96">
        <v>0.04</v>
      </c>
      <c r="S21" s="97">
        <f t="shared" si="6"/>
        <v>0</v>
      </c>
      <c r="T21" s="97">
        <f t="shared" si="0"/>
        <v>0</v>
      </c>
      <c r="U21" s="97">
        <f t="shared" si="1"/>
        <v>0</v>
      </c>
      <c r="V21" s="97">
        <f t="shared" si="2"/>
        <v>0</v>
      </c>
      <c r="W21" s="97">
        <f t="shared" si="3"/>
        <v>0</v>
      </c>
      <c r="X21" s="97">
        <f t="shared" si="4"/>
        <v>0</v>
      </c>
      <c r="Y21" s="97">
        <f t="shared" si="5"/>
        <v>0</v>
      </c>
      <c r="Z21" s="98">
        <f t="shared" si="7"/>
        <v>0</v>
      </c>
      <c r="AA21" s="299"/>
      <c r="AB21" s="332"/>
    </row>
    <row r="22" spans="1:28" ht="75.75" customHeight="1">
      <c r="A22" s="349"/>
      <c r="B22" s="381" t="s">
        <v>234</v>
      </c>
      <c r="C22" s="45" t="s">
        <v>235</v>
      </c>
      <c r="D22" s="382" t="s">
        <v>124</v>
      </c>
      <c r="E22" s="45" t="s">
        <v>119</v>
      </c>
      <c r="F22" s="232" t="s">
        <v>236</v>
      </c>
      <c r="G22" s="45" t="s">
        <v>112</v>
      </c>
      <c r="H22" s="71" t="s">
        <v>113</v>
      </c>
      <c r="I22" s="45">
        <v>1</v>
      </c>
      <c r="J22" s="45">
        <v>1</v>
      </c>
      <c r="K22" s="45">
        <v>2</v>
      </c>
      <c r="L22" s="45">
        <v>3</v>
      </c>
      <c r="M22" s="45">
        <v>3</v>
      </c>
      <c r="N22" s="45">
        <v>3</v>
      </c>
      <c r="O22" s="45">
        <v>3</v>
      </c>
      <c r="P22" s="122">
        <v>3</v>
      </c>
      <c r="Q22" s="95">
        <v>0</v>
      </c>
      <c r="R22" s="96">
        <v>0.04</v>
      </c>
      <c r="S22" s="97">
        <f t="shared" si="6"/>
        <v>0</v>
      </c>
      <c r="T22" s="97">
        <f t="shared" si="0"/>
        <v>0</v>
      </c>
      <c r="U22" s="97">
        <f t="shared" si="1"/>
        <v>0</v>
      </c>
      <c r="V22" s="97">
        <f t="shared" si="2"/>
        <v>0</v>
      </c>
      <c r="W22" s="97">
        <f t="shared" si="3"/>
        <v>0</v>
      </c>
      <c r="X22" s="97">
        <f t="shared" si="4"/>
        <v>0</v>
      </c>
      <c r="Y22" s="97">
        <f t="shared" si="5"/>
        <v>0</v>
      </c>
      <c r="Z22" s="98">
        <f t="shared" si="7"/>
        <v>0</v>
      </c>
      <c r="AA22" s="299">
        <f>SUM(Z22:Z23)</f>
        <v>0</v>
      </c>
      <c r="AB22" s="333" t="s">
        <v>15</v>
      </c>
    </row>
    <row r="23" spans="1:28" ht="68.25" customHeight="1">
      <c r="A23" s="349"/>
      <c r="B23" s="381"/>
      <c r="C23" s="45" t="s">
        <v>203</v>
      </c>
      <c r="D23" s="382"/>
      <c r="E23" s="45" t="s">
        <v>119</v>
      </c>
      <c r="F23" s="233" t="s">
        <v>237</v>
      </c>
      <c r="G23" s="45" t="s">
        <v>112</v>
      </c>
      <c r="H23" s="71" t="s">
        <v>113</v>
      </c>
      <c r="I23" s="15">
        <v>0.5</v>
      </c>
      <c r="J23" s="15">
        <v>0.5</v>
      </c>
      <c r="K23" s="15">
        <v>0.5</v>
      </c>
      <c r="L23" s="15">
        <v>0.6</v>
      </c>
      <c r="M23" s="15">
        <v>0.6</v>
      </c>
      <c r="N23" s="15">
        <v>0.7</v>
      </c>
      <c r="O23" s="15">
        <v>0.7</v>
      </c>
      <c r="P23" s="108">
        <v>0.75</v>
      </c>
      <c r="Q23" s="95">
        <v>0</v>
      </c>
      <c r="R23" s="96">
        <v>0.04</v>
      </c>
      <c r="S23" s="97">
        <f t="shared" si="6"/>
        <v>0</v>
      </c>
      <c r="T23" s="97">
        <f t="shared" si="0"/>
        <v>0</v>
      </c>
      <c r="U23" s="97">
        <f t="shared" si="1"/>
        <v>0</v>
      </c>
      <c r="V23" s="97">
        <f t="shared" si="2"/>
        <v>0</v>
      </c>
      <c r="W23" s="97">
        <f t="shared" si="3"/>
        <v>0</v>
      </c>
      <c r="X23" s="97">
        <f t="shared" si="4"/>
        <v>0</v>
      </c>
      <c r="Y23" s="97">
        <f t="shared" si="5"/>
        <v>0</v>
      </c>
      <c r="Z23" s="98">
        <f t="shared" si="7"/>
        <v>0</v>
      </c>
      <c r="AA23" s="299"/>
      <c r="AB23" s="332"/>
    </row>
    <row r="24" spans="1:28" ht="48.75" customHeight="1">
      <c r="A24" s="349"/>
      <c r="B24" s="381" t="s">
        <v>238</v>
      </c>
      <c r="C24" s="382" t="s">
        <v>239</v>
      </c>
      <c r="D24" s="382" t="s">
        <v>124</v>
      </c>
      <c r="E24" s="45" t="s">
        <v>119</v>
      </c>
      <c r="F24" s="232" t="s">
        <v>240</v>
      </c>
      <c r="G24" s="45" t="s">
        <v>113</v>
      </c>
      <c r="H24" s="71" t="s">
        <v>113</v>
      </c>
      <c r="I24" s="45">
        <v>26</v>
      </c>
      <c r="J24" s="45">
        <v>26</v>
      </c>
      <c r="K24" s="45">
        <v>27</v>
      </c>
      <c r="L24" s="45">
        <v>28</v>
      </c>
      <c r="M24" s="45">
        <v>29</v>
      </c>
      <c r="N24" s="45">
        <v>30</v>
      </c>
      <c r="O24" s="45">
        <v>31</v>
      </c>
      <c r="P24" s="122">
        <v>32</v>
      </c>
      <c r="Q24" s="95">
        <v>0</v>
      </c>
      <c r="R24" s="96">
        <v>0.04</v>
      </c>
      <c r="S24" s="97">
        <f t="shared" si="6"/>
        <v>0</v>
      </c>
      <c r="T24" s="97">
        <f t="shared" si="0"/>
        <v>0</v>
      </c>
      <c r="U24" s="97">
        <f t="shared" si="1"/>
        <v>0</v>
      </c>
      <c r="V24" s="97">
        <f t="shared" si="2"/>
        <v>0</v>
      </c>
      <c r="W24" s="97">
        <f t="shared" si="3"/>
        <v>0</v>
      </c>
      <c r="X24" s="97">
        <f t="shared" si="4"/>
        <v>0</v>
      </c>
      <c r="Y24" s="97">
        <f t="shared" si="5"/>
        <v>0</v>
      </c>
      <c r="Z24" s="98">
        <f t="shared" si="7"/>
        <v>0</v>
      </c>
      <c r="AA24" s="299">
        <f>SUM(Z24:Z26)</f>
        <v>0</v>
      </c>
      <c r="AB24" s="333" t="s">
        <v>15</v>
      </c>
    </row>
    <row r="25" spans="1:28" ht="48.75" customHeight="1">
      <c r="A25" s="349"/>
      <c r="B25" s="381"/>
      <c r="C25" s="382"/>
      <c r="D25" s="382"/>
      <c r="E25" s="45" t="s">
        <v>119</v>
      </c>
      <c r="F25" s="232" t="s">
        <v>241</v>
      </c>
      <c r="G25" s="45" t="s">
        <v>113</v>
      </c>
      <c r="H25" s="71" t="s">
        <v>113</v>
      </c>
      <c r="I25" s="71">
        <v>18</v>
      </c>
      <c r="J25" s="71">
        <v>18</v>
      </c>
      <c r="K25" s="71">
        <v>0</v>
      </c>
      <c r="L25" s="71">
        <v>18</v>
      </c>
      <c r="M25" s="71">
        <v>0</v>
      </c>
      <c r="N25" s="71">
        <v>18</v>
      </c>
      <c r="O25" s="71">
        <v>0</v>
      </c>
      <c r="P25" s="123">
        <v>18</v>
      </c>
      <c r="Q25" s="95">
        <v>0</v>
      </c>
      <c r="R25" s="96">
        <v>0.04</v>
      </c>
      <c r="S25" s="97">
        <f t="shared" si="6"/>
        <v>0</v>
      </c>
      <c r="T25" s="97">
        <f t="shared" si="0"/>
        <v>0</v>
      </c>
      <c r="U25" s="97">
        <f t="shared" si="1"/>
        <v>0</v>
      </c>
      <c r="V25" s="97">
        <f t="shared" si="2"/>
        <v>0</v>
      </c>
      <c r="W25" s="97">
        <f t="shared" si="3"/>
        <v>0</v>
      </c>
      <c r="X25" s="97">
        <f t="shared" si="4"/>
        <v>0</v>
      </c>
      <c r="Y25" s="97">
        <f t="shared" si="5"/>
        <v>0</v>
      </c>
      <c r="Z25" s="98">
        <f t="shared" si="7"/>
        <v>0</v>
      </c>
      <c r="AA25" s="299"/>
      <c r="AB25" s="327"/>
    </row>
    <row r="26" spans="1:28" ht="48.75" customHeight="1" thickBot="1">
      <c r="A26" s="350"/>
      <c r="B26" s="383"/>
      <c r="C26" s="379"/>
      <c r="D26" s="379"/>
      <c r="E26" s="9" t="s">
        <v>119</v>
      </c>
      <c r="F26" s="235" t="s">
        <v>242</v>
      </c>
      <c r="G26" s="9" t="s">
        <v>113</v>
      </c>
      <c r="H26" s="72" t="s">
        <v>113</v>
      </c>
      <c r="I26" s="9">
        <v>90</v>
      </c>
      <c r="J26" s="72">
        <v>90</v>
      </c>
      <c r="K26" s="72">
        <v>0</v>
      </c>
      <c r="L26" s="72">
        <v>90</v>
      </c>
      <c r="M26" s="72">
        <v>0</v>
      </c>
      <c r="N26" s="72">
        <v>90</v>
      </c>
      <c r="O26" s="72">
        <v>0</v>
      </c>
      <c r="P26" s="124">
        <v>90</v>
      </c>
      <c r="Q26" s="99">
        <v>0</v>
      </c>
      <c r="R26" s="100">
        <v>0.04</v>
      </c>
      <c r="S26" s="103">
        <f t="shared" si="6"/>
        <v>0</v>
      </c>
      <c r="T26" s="103">
        <f t="shared" si="0"/>
        <v>0</v>
      </c>
      <c r="U26" s="103">
        <f t="shared" si="1"/>
        <v>0</v>
      </c>
      <c r="V26" s="103">
        <f t="shared" si="2"/>
        <v>0</v>
      </c>
      <c r="W26" s="103">
        <f t="shared" si="3"/>
        <v>0</v>
      </c>
      <c r="X26" s="103">
        <f t="shared" si="4"/>
        <v>0</v>
      </c>
      <c r="Y26" s="103">
        <f t="shared" si="5"/>
        <v>0</v>
      </c>
      <c r="Z26" s="104">
        <f t="shared" si="7"/>
        <v>0</v>
      </c>
      <c r="AA26" s="389"/>
      <c r="AB26" s="328"/>
    </row>
    <row r="27" spans="1:28" ht="161.25" customHeight="1">
      <c r="A27" s="348" t="s">
        <v>243</v>
      </c>
      <c r="B27" s="246" t="s">
        <v>244</v>
      </c>
      <c r="C27" s="11" t="s">
        <v>245</v>
      </c>
      <c r="D27" s="11" t="s">
        <v>161</v>
      </c>
      <c r="E27" s="11" t="s">
        <v>119</v>
      </c>
      <c r="F27" s="246" t="s">
        <v>223</v>
      </c>
      <c r="G27" s="11" t="s">
        <v>112</v>
      </c>
      <c r="H27" s="13" t="s">
        <v>113</v>
      </c>
      <c r="I27" s="11">
        <v>4</v>
      </c>
      <c r="J27" s="11">
        <v>6</v>
      </c>
      <c r="K27" s="11">
        <v>8</v>
      </c>
      <c r="L27" s="11">
        <v>10</v>
      </c>
      <c r="M27" s="11">
        <v>12</v>
      </c>
      <c r="N27" s="11">
        <v>14</v>
      </c>
      <c r="O27" s="11">
        <v>16</v>
      </c>
      <c r="P27" s="120">
        <v>18</v>
      </c>
      <c r="Q27" s="92">
        <v>0</v>
      </c>
      <c r="R27" s="93">
        <v>0.04</v>
      </c>
      <c r="S27" s="128">
        <f t="shared" si="6"/>
        <v>0</v>
      </c>
      <c r="T27" s="128">
        <f t="shared" si="0"/>
        <v>0</v>
      </c>
      <c r="U27" s="128">
        <f t="shared" si="1"/>
        <v>0</v>
      </c>
      <c r="V27" s="128">
        <f t="shared" si="2"/>
        <v>0</v>
      </c>
      <c r="W27" s="128">
        <f t="shared" si="3"/>
        <v>0</v>
      </c>
      <c r="X27" s="128">
        <f t="shared" si="4"/>
        <v>0</v>
      </c>
      <c r="Y27" s="128">
        <f t="shared" si="5"/>
        <v>0</v>
      </c>
      <c r="Z27" s="129">
        <f t="shared" si="7"/>
        <v>0</v>
      </c>
      <c r="AA27" s="185">
        <f>Z27</f>
        <v>0</v>
      </c>
      <c r="AB27" s="191" t="s">
        <v>15</v>
      </c>
    </row>
    <row r="28" spans="1:28" ht="123.75" customHeight="1">
      <c r="A28" s="349"/>
      <c r="B28" s="381" t="s">
        <v>246</v>
      </c>
      <c r="C28" s="382" t="s">
        <v>247</v>
      </c>
      <c r="D28" s="379" t="s">
        <v>161</v>
      </c>
      <c r="E28" s="45" t="s">
        <v>119</v>
      </c>
      <c r="F28" s="232" t="s">
        <v>223</v>
      </c>
      <c r="G28" s="45" t="s">
        <v>112</v>
      </c>
      <c r="H28" s="71" t="s">
        <v>113</v>
      </c>
      <c r="I28" s="45">
        <v>5</v>
      </c>
      <c r="J28" s="45">
        <v>7</v>
      </c>
      <c r="K28" s="45">
        <v>9</v>
      </c>
      <c r="L28" s="45">
        <v>11</v>
      </c>
      <c r="M28" s="45">
        <v>13</v>
      </c>
      <c r="N28" s="45">
        <v>15</v>
      </c>
      <c r="O28" s="45">
        <v>17</v>
      </c>
      <c r="P28" s="122">
        <v>19</v>
      </c>
      <c r="Q28" s="95">
        <v>0</v>
      </c>
      <c r="R28" s="96">
        <v>0.04</v>
      </c>
      <c r="S28" s="97">
        <f t="shared" si="6"/>
        <v>0</v>
      </c>
      <c r="T28" s="97">
        <f t="shared" si="0"/>
        <v>0</v>
      </c>
      <c r="U28" s="97">
        <f t="shared" si="1"/>
        <v>0</v>
      </c>
      <c r="V28" s="97">
        <f t="shared" si="2"/>
        <v>0</v>
      </c>
      <c r="W28" s="97">
        <f t="shared" si="3"/>
        <v>0</v>
      </c>
      <c r="X28" s="97">
        <f t="shared" si="4"/>
        <v>0</v>
      </c>
      <c r="Y28" s="97">
        <f t="shared" si="5"/>
        <v>0</v>
      </c>
      <c r="Z28" s="98">
        <f t="shared" si="7"/>
        <v>0</v>
      </c>
      <c r="AA28" s="299">
        <f>SUM(Z28:Z29)</f>
        <v>236948834.42688</v>
      </c>
      <c r="AB28" s="333" t="s">
        <v>6</v>
      </c>
    </row>
    <row r="29" spans="1:28" ht="72" customHeight="1" thickBot="1">
      <c r="A29" s="368"/>
      <c r="B29" s="384"/>
      <c r="C29" s="385"/>
      <c r="D29" s="380"/>
      <c r="E29" s="8" t="s">
        <v>119</v>
      </c>
      <c r="F29" s="247" t="s">
        <v>248</v>
      </c>
      <c r="G29" s="8" t="s">
        <v>112</v>
      </c>
      <c r="H29" s="86" t="s">
        <v>113</v>
      </c>
      <c r="I29" s="8">
        <v>20</v>
      </c>
      <c r="J29" s="8">
        <v>24</v>
      </c>
      <c r="K29" s="8">
        <v>30</v>
      </c>
      <c r="L29" s="8">
        <v>34</v>
      </c>
      <c r="M29" s="8">
        <v>38</v>
      </c>
      <c r="N29" s="8">
        <v>40</v>
      </c>
      <c r="O29" s="8">
        <v>45</v>
      </c>
      <c r="P29" s="125">
        <v>50</v>
      </c>
      <c r="Q29" s="130">
        <v>30000000</v>
      </c>
      <c r="R29" s="102">
        <v>0.04</v>
      </c>
      <c r="S29" s="103">
        <f t="shared" si="6"/>
        <v>30000000</v>
      </c>
      <c r="T29" s="103">
        <f t="shared" si="0"/>
        <v>31200000</v>
      </c>
      <c r="U29" s="103">
        <f t="shared" si="1"/>
        <v>32448000</v>
      </c>
      <c r="V29" s="103">
        <f t="shared" si="2"/>
        <v>33745920</v>
      </c>
      <c r="W29" s="103">
        <f t="shared" si="3"/>
        <v>35095756.800000004</v>
      </c>
      <c r="X29" s="103">
        <f t="shared" si="4"/>
        <v>36499587.072000004</v>
      </c>
      <c r="Y29" s="103">
        <f t="shared" si="5"/>
        <v>37959570.554880008</v>
      </c>
      <c r="Z29" s="104">
        <f t="shared" si="7"/>
        <v>236948834.42688</v>
      </c>
      <c r="AA29" s="343"/>
      <c r="AB29" s="328"/>
    </row>
    <row r="30" spans="1:28">
      <c r="A30" s="14"/>
      <c r="B30" s="14"/>
      <c r="C30" s="14"/>
      <c r="D30" s="14"/>
      <c r="E30" s="14"/>
      <c r="F30" s="14"/>
      <c r="G30" s="14"/>
      <c r="H30" s="14"/>
      <c r="I30" s="14"/>
      <c r="J30" s="14"/>
      <c r="K30" s="14"/>
      <c r="L30" s="14"/>
      <c r="M30" s="14"/>
      <c r="N30" s="14"/>
      <c r="O30" s="14"/>
      <c r="P30" s="14"/>
    </row>
    <row r="31" spans="1:28">
      <c r="A31" s="363"/>
      <c r="B31" s="363"/>
      <c r="C31" s="363"/>
      <c r="D31" s="363"/>
      <c r="E31" s="363"/>
      <c r="F31" s="363"/>
      <c r="G31" s="363"/>
      <c r="H31" s="363"/>
      <c r="I31" s="363"/>
      <c r="J31" s="363"/>
      <c r="K31" s="363"/>
      <c r="L31" s="363"/>
      <c r="M31" s="363"/>
      <c r="N31" s="363"/>
      <c r="O31" s="363"/>
      <c r="P31" s="363"/>
    </row>
  </sheetData>
  <sheetProtection algorithmName="SHA-512" hashValue="emUc/Ps9RWSLPQqUXkJPOXkmG3xk7HYZLC3GmclR+1itJMQs0v7SUigNl8ElVZ7qL8zcn1lh8LFr1e1jlKtq7g==" saltValue="lV/gWsDiTqPK0S4Jzoclvg==" spinCount="100000" sheet="1" objects="1" scenarios="1"/>
  <mergeCells count="70">
    <mergeCell ref="A1:P1"/>
    <mergeCell ref="AA24:AA26"/>
    <mergeCell ref="AA28:AA29"/>
    <mergeCell ref="Q3:Q4"/>
    <mergeCell ref="R3:R4"/>
    <mergeCell ref="S3:Y3"/>
    <mergeCell ref="Z3:Z4"/>
    <mergeCell ref="AA3:AA4"/>
    <mergeCell ref="AA5:AA6"/>
    <mergeCell ref="AA7:AA8"/>
    <mergeCell ref="AA9:AA12"/>
    <mergeCell ref="AA13:AA14"/>
    <mergeCell ref="AA15:AA16"/>
    <mergeCell ref="AA17:AA19"/>
    <mergeCell ref="AA20:AA21"/>
    <mergeCell ref="AA22:AA23"/>
    <mergeCell ref="A2:P2"/>
    <mergeCell ref="A3:A4"/>
    <mergeCell ref="B3:B4"/>
    <mergeCell ref="C3:C4"/>
    <mergeCell ref="D3:D4"/>
    <mergeCell ref="E3:E4"/>
    <mergeCell ref="F3:F4"/>
    <mergeCell ref="G3:G4"/>
    <mergeCell ref="H3:H4"/>
    <mergeCell ref="J3:P3"/>
    <mergeCell ref="A5:A14"/>
    <mergeCell ref="B5:B6"/>
    <mergeCell ref="C5:C6"/>
    <mergeCell ref="D5:D6"/>
    <mergeCell ref="B7:B8"/>
    <mergeCell ref="C7:C8"/>
    <mergeCell ref="D7:D8"/>
    <mergeCell ref="B9:B12"/>
    <mergeCell ref="C9:C12"/>
    <mergeCell ref="D9:D12"/>
    <mergeCell ref="D17:D19"/>
    <mergeCell ref="B20:B21"/>
    <mergeCell ref="C20:C21"/>
    <mergeCell ref="D20:D21"/>
    <mergeCell ref="I3:I4"/>
    <mergeCell ref="B13:B14"/>
    <mergeCell ref="D13:D14"/>
    <mergeCell ref="D28:D29"/>
    <mergeCell ref="A31:P31"/>
    <mergeCell ref="B22:B23"/>
    <mergeCell ref="D22:D23"/>
    <mergeCell ref="B24:B26"/>
    <mergeCell ref="C24:C26"/>
    <mergeCell ref="D24:D26"/>
    <mergeCell ref="A27:A29"/>
    <mergeCell ref="B28:B29"/>
    <mergeCell ref="C28:C29"/>
    <mergeCell ref="A15:A26"/>
    <mergeCell ref="B15:B16"/>
    <mergeCell ref="C15:C16"/>
    <mergeCell ref="D15:D16"/>
    <mergeCell ref="B17:B19"/>
    <mergeCell ref="C17:C19"/>
    <mergeCell ref="AB20:AB21"/>
    <mergeCell ref="AB22:AB23"/>
    <mergeCell ref="AB24:AB26"/>
    <mergeCell ref="AB28:AB29"/>
    <mergeCell ref="AB3:AB4"/>
    <mergeCell ref="AB5:AB6"/>
    <mergeCell ref="AB7:AB8"/>
    <mergeCell ref="AB9:AB12"/>
    <mergeCell ref="AB13:AB14"/>
    <mergeCell ref="AB15:AB16"/>
    <mergeCell ref="AB17:AB19"/>
  </mergeCells>
  <pageMargins left="0.7" right="0.7" top="0.75" bottom="0.75" header="0.3" footer="0.3"/>
  <pageSetup orientation="portrait" horizontalDpi="1200" verticalDpi="1200" r:id="rId1"/>
  <ignoredErrors>
    <ignoredError sqref="Z13 Z15 Z29 Z14 Z17 Z16 Z20 Z19 Z22 Z21 Z24 Z23 Z27 Z26 Z18 Z25 Z28"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Hoja2!$C$15:$C$17</xm:f>
          </x14:formula1>
          <xm:sqref>G5:G29</xm:sqref>
        </x14:dataValidation>
        <x14:dataValidation type="list" allowBlank="1" showInputMessage="1" showErrorMessage="1" xr:uid="{00000000-0002-0000-0300-000001000000}">
          <x14:formula1>
            <xm:f>Hoja2!$A$1:$A$3</xm:f>
          </x14:formula1>
          <xm:sqref>E5:E29</xm:sqref>
        </x14:dataValidation>
        <x14:dataValidation type="list" allowBlank="1" showInputMessage="1" showErrorMessage="1" xr:uid="{00000000-0002-0000-0300-000002000000}">
          <x14:formula1>
            <xm:f>Hoja2!$E$15:$E$26</xm:f>
          </x14:formula1>
          <xm:sqref>AB5:AB29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29"/>
  <sheetViews>
    <sheetView zoomScale="80" zoomScaleNormal="80" zoomScalePageLayoutView="50" workbookViewId="0">
      <selection sqref="A1:P1"/>
    </sheetView>
  </sheetViews>
  <sheetFormatPr defaultColWidth="11" defaultRowHeight="15.75"/>
  <cols>
    <col min="1" max="1" width="28.125" customWidth="1"/>
    <col min="2" max="2" width="52.875" customWidth="1"/>
    <col min="3" max="3" width="22.125" customWidth="1"/>
    <col min="4" max="4" width="13.125" customWidth="1"/>
    <col min="5" max="5" width="13.5" customWidth="1"/>
    <col min="6" max="6" width="31.125" customWidth="1"/>
    <col min="7" max="7" width="17.125" customWidth="1"/>
    <col min="8" max="8" width="18.875" customWidth="1"/>
    <col min="9" max="9" width="24.625" customWidth="1"/>
    <col min="10" max="16" width="6.375" customWidth="1"/>
    <col min="17" max="17" width="18.125" style="105" customWidth="1"/>
    <col min="18" max="18" width="7.875" customWidth="1"/>
    <col min="19" max="25" width="16.125" customWidth="1"/>
    <col min="26" max="27" width="23.625" customWidth="1"/>
    <col min="28" max="28" width="27.625" customWidth="1"/>
  </cols>
  <sheetData>
    <row r="1" spans="1:28" ht="32.1" customHeight="1">
      <c r="A1" s="347" t="s">
        <v>91</v>
      </c>
      <c r="B1" s="347"/>
      <c r="C1" s="347"/>
      <c r="D1" s="347"/>
      <c r="E1" s="347"/>
      <c r="F1" s="347"/>
      <c r="G1" s="347"/>
      <c r="H1" s="347"/>
      <c r="I1" s="347"/>
      <c r="J1" s="347"/>
      <c r="K1" s="347"/>
      <c r="L1" s="347"/>
      <c r="M1" s="347"/>
      <c r="N1" s="347"/>
      <c r="O1" s="347"/>
      <c r="P1" s="347"/>
    </row>
    <row r="2" spans="1:28" ht="16.5" thickBot="1">
      <c r="A2" s="403"/>
      <c r="B2" s="403"/>
      <c r="C2" s="403"/>
      <c r="D2" s="403"/>
      <c r="E2" s="403"/>
      <c r="F2" s="403"/>
      <c r="G2" s="403"/>
      <c r="H2" s="403"/>
      <c r="I2" s="403"/>
      <c r="J2" s="403"/>
      <c r="K2" s="403"/>
      <c r="L2" s="403"/>
      <c r="M2" s="403"/>
      <c r="N2" s="403"/>
      <c r="O2" s="403"/>
      <c r="P2" s="404"/>
      <c r="R2" s="224">
        <f>R5+1</f>
        <v>1.04</v>
      </c>
    </row>
    <row r="3" spans="1:28" ht="22.5" customHeight="1">
      <c r="A3" s="361" t="s">
        <v>92</v>
      </c>
      <c r="B3" s="324" t="s">
        <v>93</v>
      </c>
      <c r="C3" s="324" t="s">
        <v>94</v>
      </c>
      <c r="D3" s="324" t="s">
        <v>35</v>
      </c>
      <c r="E3" s="326" t="s">
        <v>95</v>
      </c>
      <c r="F3" s="326" t="s">
        <v>96</v>
      </c>
      <c r="G3" s="324" t="s">
        <v>97</v>
      </c>
      <c r="H3" s="324" t="s">
        <v>98</v>
      </c>
      <c r="I3" s="326" t="s">
        <v>99</v>
      </c>
      <c r="J3" s="356" t="s">
        <v>100</v>
      </c>
      <c r="K3" s="356"/>
      <c r="L3" s="356"/>
      <c r="M3" s="356"/>
      <c r="N3" s="356"/>
      <c r="O3" s="356"/>
      <c r="P3" s="356"/>
      <c r="Q3" s="334" t="s">
        <v>101</v>
      </c>
      <c r="R3" s="336" t="s">
        <v>102</v>
      </c>
      <c r="S3" s="338" t="s">
        <v>103</v>
      </c>
      <c r="T3" s="338"/>
      <c r="U3" s="338"/>
      <c r="V3" s="338"/>
      <c r="W3" s="338"/>
      <c r="X3" s="338"/>
      <c r="Y3" s="392"/>
      <c r="Z3" s="339" t="s">
        <v>104</v>
      </c>
      <c r="AA3" s="394" t="s">
        <v>105</v>
      </c>
      <c r="AB3" s="377" t="s">
        <v>2</v>
      </c>
    </row>
    <row r="4" spans="1:28" ht="22.5" customHeight="1" thickBot="1">
      <c r="A4" s="362"/>
      <c r="B4" s="325"/>
      <c r="C4" s="325"/>
      <c r="D4" s="325"/>
      <c r="E4" s="324"/>
      <c r="F4" s="324"/>
      <c r="G4" s="325"/>
      <c r="H4" s="325"/>
      <c r="I4" s="324"/>
      <c r="J4" s="1">
        <v>2021</v>
      </c>
      <c r="K4" s="1">
        <v>2022</v>
      </c>
      <c r="L4" s="1">
        <v>2023</v>
      </c>
      <c r="M4" s="1">
        <v>2024</v>
      </c>
      <c r="N4" s="1">
        <v>2025</v>
      </c>
      <c r="O4" s="1">
        <v>2026</v>
      </c>
      <c r="P4" s="1">
        <v>2027</v>
      </c>
      <c r="Q4" s="390"/>
      <c r="R4" s="391"/>
      <c r="S4" s="90">
        <v>2021</v>
      </c>
      <c r="T4" s="90">
        <v>2022</v>
      </c>
      <c r="U4" s="90">
        <v>2023</v>
      </c>
      <c r="V4" s="90">
        <v>2024</v>
      </c>
      <c r="W4" s="90">
        <v>2025</v>
      </c>
      <c r="X4" s="90">
        <v>2026</v>
      </c>
      <c r="Y4" s="91">
        <v>2027</v>
      </c>
      <c r="Z4" s="393"/>
      <c r="AA4" s="395"/>
      <c r="AB4" s="378"/>
    </row>
    <row r="5" spans="1:28" s="14" customFormat="1" ht="75" customHeight="1">
      <c r="A5" s="397" t="s">
        <v>249</v>
      </c>
      <c r="B5" s="246" t="s">
        <v>250</v>
      </c>
      <c r="C5" s="11" t="s">
        <v>251</v>
      </c>
      <c r="D5" s="11" t="s">
        <v>252</v>
      </c>
      <c r="E5" s="11" t="s">
        <v>119</v>
      </c>
      <c r="F5" s="246" t="s">
        <v>253</v>
      </c>
      <c r="G5" s="11" t="s">
        <v>113</v>
      </c>
      <c r="H5" s="11" t="s">
        <v>113</v>
      </c>
      <c r="I5" s="11" t="s">
        <v>254</v>
      </c>
      <c r="J5" s="11">
        <v>2</v>
      </c>
      <c r="K5" s="11">
        <v>2</v>
      </c>
      <c r="L5" s="11">
        <v>3</v>
      </c>
      <c r="M5" s="11">
        <v>3</v>
      </c>
      <c r="N5" s="11">
        <v>4</v>
      </c>
      <c r="O5" s="11">
        <v>4</v>
      </c>
      <c r="P5" s="2">
        <v>4</v>
      </c>
      <c r="Q5" s="92">
        <v>0</v>
      </c>
      <c r="R5" s="93">
        <v>0.04</v>
      </c>
      <c r="S5" s="97">
        <f>IF(J5&lt;&gt;0,Q5,0)</f>
        <v>0</v>
      </c>
      <c r="T5" s="97">
        <f>IF(K5&lt;&gt;0,(IF(S5&lt;&gt;0,(S5*$R$2),($Q5*$R$2))),0)</f>
        <v>0</v>
      </c>
      <c r="U5" s="97">
        <f>IF(L5&lt;&gt;0,(IF(T5&lt;&gt;0,(T5*$R$2),(($Q5*$R$2)*$R$2))),0)</f>
        <v>0</v>
      </c>
      <c r="V5" s="97">
        <f>IF(M5&lt;&gt;0,(IF(U5&lt;&gt;0,(U5*$R$2),(($Q5*$R$2)*$R$2*$R$2))),0)</f>
        <v>0</v>
      </c>
      <c r="W5" s="97">
        <f>IF(N5&lt;&gt;0,(IF(V5&lt;&gt;0,(V5*$R$2),(($Q5*$R$2)*$R$2*$R$2*$R$2))),0)</f>
        <v>0</v>
      </c>
      <c r="X5" s="97">
        <f>IF(O5&lt;&gt;0,(IF(W5&lt;&gt;0,(W5*$R$2),(($Q5*$R$2)*$R$2*$R$2*$R$2*$R$2))),0)</f>
        <v>0</v>
      </c>
      <c r="Y5" s="97">
        <f>IF(P5&lt;&gt;0,(IF(X5&lt;&gt;0,(X5*$R$2),(($Q5*$R$2)*$R$2*$R$2*$R$2*$R$2*$R$2))),0)</f>
        <v>0</v>
      </c>
      <c r="Z5" s="94">
        <f>SUM(S5:Y5)</f>
        <v>0</v>
      </c>
      <c r="AA5" s="186">
        <f>Z5</f>
        <v>0</v>
      </c>
      <c r="AB5" s="188" t="s">
        <v>15</v>
      </c>
    </row>
    <row r="6" spans="1:28" s="14" customFormat="1" ht="64.5" customHeight="1" thickBot="1">
      <c r="A6" s="398"/>
      <c r="B6" s="235" t="s">
        <v>255</v>
      </c>
      <c r="C6" s="9" t="s">
        <v>251</v>
      </c>
      <c r="D6" s="9" t="s">
        <v>256</v>
      </c>
      <c r="E6" s="9" t="s">
        <v>119</v>
      </c>
      <c r="F6" s="235" t="s">
        <v>257</v>
      </c>
      <c r="G6" s="9" t="s">
        <v>113</v>
      </c>
      <c r="H6" s="9" t="s">
        <v>113</v>
      </c>
      <c r="I6" s="9" t="s">
        <v>258</v>
      </c>
      <c r="J6" s="9">
        <v>14</v>
      </c>
      <c r="K6" s="9">
        <v>16</v>
      </c>
      <c r="L6" s="9">
        <v>18</v>
      </c>
      <c r="M6" s="9">
        <v>20</v>
      </c>
      <c r="N6" s="9">
        <v>21</v>
      </c>
      <c r="O6" s="9">
        <v>22</v>
      </c>
      <c r="P6" s="12">
        <v>24</v>
      </c>
      <c r="Q6" s="130">
        <v>0</v>
      </c>
      <c r="R6" s="102">
        <v>0.04</v>
      </c>
      <c r="S6" s="103">
        <f t="shared" ref="S6:S27" si="0">IF(J6&lt;&gt;0,Q6,0)</f>
        <v>0</v>
      </c>
      <c r="T6" s="103">
        <f t="shared" ref="T6:T27" si="1">IF(K6&lt;&gt;0,(IF(S6&lt;&gt;0,(S6*$R$2),($Q6*$R$2))),0)</f>
        <v>0</v>
      </c>
      <c r="U6" s="103">
        <f t="shared" ref="U6:U27" si="2">IF(L6&lt;&gt;0,(IF(T6&lt;&gt;0,(T6*$R$2),(($Q6*$R$2)*$R$2))),0)</f>
        <v>0</v>
      </c>
      <c r="V6" s="103">
        <f t="shared" ref="V6:V27" si="3">IF(M6&lt;&gt;0,(IF(U6&lt;&gt;0,(U6*$R$2),(($Q6*$R$2)*$R$2*$R$2))),0)</f>
        <v>0</v>
      </c>
      <c r="W6" s="103">
        <f t="shared" ref="W6:W27" si="4">IF(N6&lt;&gt;0,(IF(V6&lt;&gt;0,(V6*$R$2),(($Q6*$R$2)*$R$2*$R$2*$R$2))),0)</f>
        <v>0</v>
      </c>
      <c r="X6" s="103">
        <f t="shared" ref="X6:X27" si="5">IF(O6&lt;&gt;0,(IF(W6&lt;&gt;0,(W6*$R$2),(($Q6*$R$2)*$R$2*$R$2*$R$2*$R$2))),0)</f>
        <v>0</v>
      </c>
      <c r="Y6" s="103">
        <f t="shared" ref="Y6:Y27" si="6">IF(P6&lt;&gt;0,(IF(X6&lt;&gt;0,(X6*$R$2),(($Q6*$R$2)*$R$2*$R$2*$R$2*$R$2*$R$2))),0)</f>
        <v>0</v>
      </c>
      <c r="Z6" s="104">
        <f t="shared" ref="Z6:Z27" si="7">SUM(S6:Y6)</f>
        <v>0</v>
      </c>
      <c r="AA6" s="192">
        <f>Z6</f>
        <v>0</v>
      </c>
      <c r="AB6" s="189" t="s">
        <v>15</v>
      </c>
    </row>
    <row r="7" spans="1:28" s="14" customFormat="1" ht="82.5" customHeight="1">
      <c r="A7" s="397" t="s">
        <v>259</v>
      </c>
      <c r="B7" s="386" t="s">
        <v>260</v>
      </c>
      <c r="C7" s="11" t="s">
        <v>251</v>
      </c>
      <c r="D7" s="400" t="s">
        <v>261</v>
      </c>
      <c r="E7" s="11" t="s">
        <v>119</v>
      </c>
      <c r="F7" s="246" t="s">
        <v>262</v>
      </c>
      <c r="G7" s="11" t="s">
        <v>113</v>
      </c>
      <c r="H7" s="11" t="s">
        <v>113</v>
      </c>
      <c r="I7" s="11">
        <v>0</v>
      </c>
      <c r="J7" s="11">
        <v>1</v>
      </c>
      <c r="K7" s="11">
        <v>0</v>
      </c>
      <c r="L7" s="11">
        <v>0</v>
      </c>
      <c r="M7" s="11">
        <v>0</v>
      </c>
      <c r="N7" s="11">
        <v>0</v>
      </c>
      <c r="O7" s="11">
        <v>0</v>
      </c>
      <c r="P7" s="2">
        <v>0</v>
      </c>
      <c r="Q7" s="92">
        <v>0</v>
      </c>
      <c r="R7" s="93">
        <v>0.04</v>
      </c>
      <c r="S7" s="128">
        <f t="shared" si="0"/>
        <v>0</v>
      </c>
      <c r="T7" s="128">
        <f t="shared" si="1"/>
        <v>0</v>
      </c>
      <c r="U7" s="128">
        <f t="shared" si="2"/>
        <v>0</v>
      </c>
      <c r="V7" s="128">
        <f t="shared" si="3"/>
        <v>0</v>
      </c>
      <c r="W7" s="128">
        <f t="shared" si="4"/>
        <v>0</v>
      </c>
      <c r="X7" s="128">
        <f t="shared" si="5"/>
        <v>0</v>
      </c>
      <c r="Y7" s="128">
        <f t="shared" si="6"/>
        <v>0</v>
      </c>
      <c r="Z7" s="94">
        <f t="shared" si="7"/>
        <v>0</v>
      </c>
      <c r="AA7" s="341">
        <f>SUM(Z7:Z9)</f>
        <v>0</v>
      </c>
      <c r="AB7" s="331" t="s">
        <v>15</v>
      </c>
    </row>
    <row r="8" spans="1:28" s="14" customFormat="1" ht="71.25" customHeight="1">
      <c r="A8" s="399"/>
      <c r="B8" s="381"/>
      <c r="C8" s="45" t="s">
        <v>263</v>
      </c>
      <c r="D8" s="401"/>
      <c r="E8" s="45" t="s">
        <v>174</v>
      </c>
      <c r="F8" s="232" t="s">
        <v>264</v>
      </c>
      <c r="G8" s="45" t="s">
        <v>113</v>
      </c>
      <c r="H8" s="45" t="s">
        <v>140</v>
      </c>
      <c r="I8" s="45" t="s">
        <v>265</v>
      </c>
      <c r="J8" s="228">
        <v>0</v>
      </c>
      <c r="K8" s="229">
        <v>0.5</v>
      </c>
      <c r="L8" s="229">
        <v>1</v>
      </c>
      <c r="M8" s="229">
        <v>1</v>
      </c>
      <c r="N8" s="229">
        <v>1</v>
      </c>
      <c r="O8" s="229">
        <v>1</v>
      </c>
      <c r="P8" s="230">
        <v>1</v>
      </c>
      <c r="Q8" s="95">
        <v>0</v>
      </c>
      <c r="R8" s="96">
        <v>0.04</v>
      </c>
      <c r="S8" s="97">
        <f t="shared" si="0"/>
        <v>0</v>
      </c>
      <c r="T8" s="97">
        <f t="shared" si="1"/>
        <v>0</v>
      </c>
      <c r="U8" s="97">
        <f t="shared" si="2"/>
        <v>0</v>
      </c>
      <c r="V8" s="97">
        <f t="shared" si="3"/>
        <v>0</v>
      </c>
      <c r="W8" s="97">
        <f t="shared" si="4"/>
        <v>0</v>
      </c>
      <c r="X8" s="97">
        <f t="shared" si="5"/>
        <v>0</v>
      </c>
      <c r="Y8" s="97">
        <f t="shared" si="6"/>
        <v>0</v>
      </c>
      <c r="Z8" s="98">
        <f>SUM(S8:Y8)</f>
        <v>0</v>
      </c>
      <c r="AA8" s="299"/>
      <c r="AB8" s="327"/>
    </row>
    <row r="9" spans="1:28" s="14" customFormat="1" ht="55.5" customHeight="1">
      <c r="A9" s="399"/>
      <c r="B9" s="381"/>
      <c r="C9" s="45" t="s">
        <v>263</v>
      </c>
      <c r="D9" s="402"/>
      <c r="E9" s="45" t="s">
        <v>119</v>
      </c>
      <c r="F9" s="232" t="s">
        <v>266</v>
      </c>
      <c r="G9" s="45" t="s">
        <v>112</v>
      </c>
      <c r="H9" s="45" t="s">
        <v>113</v>
      </c>
      <c r="I9" s="45">
        <v>0</v>
      </c>
      <c r="J9" s="45">
        <v>0</v>
      </c>
      <c r="K9" s="45">
        <v>0</v>
      </c>
      <c r="L9" s="45">
        <v>2</v>
      </c>
      <c r="M9" s="45">
        <v>4</v>
      </c>
      <c r="N9" s="45">
        <v>4</v>
      </c>
      <c r="O9" s="45">
        <v>4</v>
      </c>
      <c r="P9" s="3">
        <v>4</v>
      </c>
      <c r="Q9" s="95">
        <v>0</v>
      </c>
      <c r="R9" s="96">
        <v>0.04</v>
      </c>
      <c r="S9" s="97">
        <f t="shared" si="0"/>
        <v>0</v>
      </c>
      <c r="T9" s="97">
        <f t="shared" si="1"/>
        <v>0</v>
      </c>
      <c r="U9" s="97">
        <f t="shared" si="2"/>
        <v>0</v>
      </c>
      <c r="V9" s="97">
        <f t="shared" si="3"/>
        <v>0</v>
      </c>
      <c r="W9" s="97">
        <f t="shared" si="4"/>
        <v>0</v>
      </c>
      <c r="X9" s="97">
        <f t="shared" si="5"/>
        <v>0</v>
      </c>
      <c r="Y9" s="97">
        <f t="shared" si="6"/>
        <v>0</v>
      </c>
      <c r="Z9" s="98">
        <f t="shared" si="7"/>
        <v>0</v>
      </c>
      <c r="AA9" s="299"/>
      <c r="AB9" s="332"/>
    </row>
    <row r="10" spans="1:28" s="14" customFormat="1" ht="87.75" customHeight="1">
      <c r="A10" s="399"/>
      <c r="B10" s="381" t="s">
        <v>267</v>
      </c>
      <c r="C10" s="45" t="s">
        <v>263</v>
      </c>
      <c r="D10" s="379" t="s">
        <v>268</v>
      </c>
      <c r="E10" s="45" t="s">
        <v>119</v>
      </c>
      <c r="F10" s="232" t="s">
        <v>269</v>
      </c>
      <c r="G10" s="45" t="s">
        <v>112</v>
      </c>
      <c r="H10" s="45" t="s">
        <v>113</v>
      </c>
      <c r="I10" s="45">
        <v>0</v>
      </c>
      <c r="J10" s="45">
        <v>2</v>
      </c>
      <c r="K10" s="45">
        <v>2</v>
      </c>
      <c r="L10" s="45">
        <v>2</v>
      </c>
      <c r="M10" s="45">
        <v>2</v>
      </c>
      <c r="N10" s="45">
        <v>2</v>
      </c>
      <c r="O10" s="45">
        <v>2</v>
      </c>
      <c r="P10" s="3">
        <v>2</v>
      </c>
      <c r="Q10" s="95">
        <v>0</v>
      </c>
      <c r="R10" s="96">
        <v>0.04</v>
      </c>
      <c r="S10" s="97">
        <f t="shared" si="0"/>
        <v>0</v>
      </c>
      <c r="T10" s="97">
        <f t="shared" si="1"/>
        <v>0</v>
      </c>
      <c r="U10" s="97">
        <f t="shared" si="2"/>
        <v>0</v>
      </c>
      <c r="V10" s="97">
        <f t="shared" si="3"/>
        <v>0</v>
      </c>
      <c r="W10" s="97">
        <f t="shared" si="4"/>
        <v>0</v>
      </c>
      <c r="X10" s="97">
        <f t="shared" si="5"/>
        <v>0</v>
      </c>
      <c r="Y10" s="97">
        <f t="shared" si="6"/>
        <v>0</v>
      </c>
      <c r="Z10" s="98">
        <f t="shared" si="7"/>
        <v>0</v>
      </c>
      <c r="AA10" s="299">
        <f>SUM(Z10:Z11)</f>
        <v>0</v>
      </c>
      <c r="AB10" s="333" t="s">
        <v>15</v>
      </c>
    </row>
    <row r="11" spans="1:28" s="14" customFormat="1" ht="72.75" customHeight="1" thickBot="1">
      <c r="A11" s="398"/>
      <c r="B11" s="383"/>
      <c r="C11" s="9" t="s">
        <v>263</v>
      </c>
      <c r="D11" s="380"/>
      <c r="E11" s="9" t="s">
        <v>174</v>
      </c>
      <c r="F11" s="235" t="s">
        <v>270</v>
      </c>
      <c r="G11" s="9" t="s">
        <v>113</v>
      </c>
      <c r="H11" s="9" t="s">
        <v>113</v>
      </c>
      <c r="I11" s="9">
        <v>0</v>
      </c>
      <c r="J11" s="27">
        <v>0.5</v>
      </c>
      <c r="K11" s="27">
        <v>0.5</v>
      </c>
      <c r="L11" s="27">
        <v>0.6</v>
      </c>
      <c r="M11" s="27">
        <v>0.6</v>
      </c>
      <c r="N11" s="27">
        <v>0.6</v>
      </c>
      <c r="O11" s="27">
        <v>0.7</v>
      </c>
      <c r="P11" s="28">
        <v>0.7</v>
      </c>
      <c r="Q11" s="130">
        <v>0</v>
      </c>
      <c r="R11" s="102">
        <v>0.04</v>
      </c>
      <c r="S11" s="103">
        <f t="shared" si="0"/>
        <v>0</v>
      </c>
      <c r="T11" s="103">
        <f t="shared" si="1"/>
        <v>0</v>
      </c>
      <c r="U11" s="103">
        <f t="shared" si="2"/>
        <v>0</v>
      </c>
      <c r="V11" s="103">
        <f t="shared" si="3"/>
        <v>0</v>
      </c>
      <c r="W11" s="103">
        <f t="shared" si="4"/>
        <v>0</v>
      </c>
      <c r="X11" s="103">
        <f t="shared" si="5"/>
        <v>0</v>
      </c>
      <c r="Y11" s="103">
        <f t="shared" si="6"/>
        <v>0</v>
      </c>
      <c r="Z11" s="104">
        <f t="shared" si="7"/>
        <v>0</v>
      </c>
      <c r="AA11" s="389"/>
      <c r="AB11" s="328"/>
    </row>
    <row r="12" spans="1:28" s="14" customFormat="1" ht="75.75" customHeight="1">
      <c r="A12" s="397" t="s">
        <v>271</v>
      </c>
      <c r="B12" s="246" t="s">
        <v>272</v>
      </c>
      <c r="C12" s="11" t="s">
        <v>273</v>
      </c>
      <c r="D12" s="11" t="s">
        <v>274</v>
      </c>
      <c r="E12" s="11" t="s">
        <v>119</v>
      </c>
      <c r="F12" s="246" t="s">
        <v>275</v>
      </c>
      <c r="G12" s="11" t="s">
        <v>113</v>
      </c>
      <c r="H12" s="11" t="s">
        <v>113</v>
      </c>
      <c r="I12" s="11">
        <v>0</v>
      </c>
      <c r="J12" s="11">
        <v>1</v>
      </c>
      <c r="K12" s="11">
        <v>1</v>
      </c>
      <c r="L12" s="11">
        <v>1</v>
      </c>
      <c r="M12" s="11">
        <v>1</v>
      </c>
      <c r="N12" s="11">
        <v>1</v>
      </c>
      <c r="O12" s="11">
        <v>1</v>
      </c>
      <c r="P12" s="2">
        <v>1</v>
      </c>
      <c r="Q12" s="92">
        <v>0</v>
      </c>
      <c r="R12" s="93">
        <v>0.04</v>
      </c>
      <c r="S12" s="128">
        <f t="shared" si="0"/>
        <v>0</v>
      </c>
      <c r="T12" s="128">
        <f t="shared" si="1"/>
        <v>0</v>
      </c>
      <c r="U12" s="128">
        <f t="shared" si="2"/>
        <v>0</v>
      </c>
      <c r="V12" s="128">
        <f t="shared" si="3"/>
        <v>0</v>
      </c>
      <c r="W12" s="128">
        <f t="shared" si="4"/>
        <v>0</v>
      </c>
      <c r="X12" s="128">
        <f t="shared" si="5"/>
        <v>0</v>
      </c>
      <c r="Y12" s="128">
        <f t="shared" si="6"/>
        <v>0</v>
      </c>
      <c r="Z12" s="94">
        <f t="shared" si="7"/>
        <v>0</v>
      </c>
      <c r="AA12" s="186">
        <f>Z12</f>
        <v>0</v>
      </c>
      <c r="AB12" s="191" t="s">
        <v>15</v>
      </c>
    </row>
    <row r="13" spans="1:28" s="14" customFormat="1" ht="57" customHeight="1">
      <c r="A13" s="399"/>
      <c r="B13" s="381" t="s">
        <v>276</v>
      </c>
      <c r="C13" s="45" t="s">
        <v>251</v>
      </c>
      <c r="D13" s="379" t="s">
        <v>277</v>
      </c>
      <c r="E13" s="45" t="s">
        <v>119</v>
      </c>
      <c r="F13" s="232" t="s">
        <v>278</v>
      </c>
      <c r="G13" s="45" t="s">
        <v>113</v>
      </c>
      <c r="H13" s="45" t="s">
        <v>113</v>
      </c>
      <c r="I13" s="45">
        <v>0</v>
      </c>
      <c r="J13" s="45">
        <v>1</v>
      </c>
      <c r="K13" s="45">
        <v>0</v>
      </c>
      <c r="L13" s="45">
        <v>0</v>
      </c>
      <c r="M13" s="45">
        <v>0</v>
      </c>
      <c r="N13" s="45">
        <v>0</v>
      </c>
      <c r="O13" s="45">
        <v>0</v>
      </c>
      <c r="P13" s="3">
        <v>0</v>
      </c>
      <c r="Q13" s="95">
        <v>0</v>
      </c>
      <c r="R13" s="96">
        <v>0.04</v>
      </c>
      <c r="S13" s="97">
        <f t="shared" si="0"/>
        <v>0</v>
      </c>
      <c r="T13" s="97">
        <f t="shared" si="1"/>
        <v>0</v>
      </c>
      <c r="U13" s="97">
        <f t="shared" si="2"/>
        <v>0</v>
      </c>
      <c r="V13" s="97">
        <f t="shared" si="3"/>
        <v>0</v>
      </c>
      <c r="W13" s="97">
        <f t="shared" si="4"/>
        <v>0</v>
      </c>
      <c r="X13" s="97">
        <f t="shared" si="5"/>
        <v>0</v>
      </c>
      <c r="Y13" s="97">
        <f t="shared" si="6"/>
        <v>0</v>
      </c>
      <c r="Z13" s="98">
        <f t="shared" si="7"/>
        <v>0</v>
      </c>
      <c r="AA13" s="299">
        <f>SUM(Z13:Z14)</f>
        <v>34491472.404479995</v>
      </c>
      <c r="AB13" s="333" t="s">
        <v>6</v>
      </c>
    </row>
    <row r="14" spans="1:28" s="14" customFormat="1" ht="105.75" customHeight="1" thickBot="1">
      <c r="A14" s="398"/>
      <c r="B14" s="383"/>
      <c r="C14" s="9" t="s">
        <v>279</v>
      </c>
      <c r="D14" s="380"/>
      <c r="E14" s="9" t="s">
        <v>174</v>
      </c>
      <c r="F14" s="235" t="s">
        <v>280</v>
      </c>
      <c r="G14" s="9" t="s">
        <v>113</v>
      </c>
      <c r="H14" s="9" t="s">
        <v>113</v>
      </c>
      <c r="I14" s="9" t="s">
        <v>281</v>
      </c>
      <c r="J14" s="9">
        <v>0</v>
      </c>
      <c r="K14" s="27">
        <v>1</v>
      </c>
      <c r="L14" s="27">
        <v>1</v>
      </c>
      <c r="M14" s="27">
        <v>1</v>
      </c>
      <c r="N14" s="27">
        <v>1</v>
      </c>
      <c r="O14" s="27">
        <v>1</v>
      </c>
      <c r="P14" s="28">
        <v>1</v>
      </c>
      <c r="Q14" s="130">
        <v>5000000</v>
      </c>
      <c r="R14" s="102">
        <v>0.04</v>
      </c>
      <c r="S14" s="103">
        <f t="shared" si="0"/>
        <v>0</v>
      </c>
      <c r="T14" s="103">
        <f t="shared" si="1"/>
        <v>5200000</v>
      </c>
      <c r="U14" s="103">
        <f t="shared" si="2"/>
        <v>5408000</v>
      </c>
      <c r="V14" s="103">
        <f t="shared" si="3"/>
        <v>5624320</v>
      </c>
      <c r="W14" s="103">
        <f t="shared" si="4"/>
        <v>5849292.7999999998</v>
      </c>
      <c r="X14" s="103">
        <f t="shared" si="5"/>
        <v>6083264.5120000001</v>
      </c>
      <c r="Y14" s="103">
        <f t="shared" si="6"/>
        <v>6326595.0924800001</v>
      </c>
      <c r="Z14" s="104">
        <f t="shared" si="7"/>
        <v>34491472.404479995</v>
      </c>
      <c r="AA14" s="389"/>
      <c r="AB14" s="328"/>
    </row>
    <row r="15" spans="1:28" s="14" customFormat="1" ht="72" customHeight="1">
      <c r="A15" s="397" t="s">
        <v>282</v>
      </c>
      <c r="B15" s="246" t="s">
        <v>283</v>
      </c>
      <c r="C15" s="11" t="s">
        <v>284</v>
      </c>
      <c r="D15" s="11" t="s">
        <v>285</v>
      </c>
      <c r="E15" s="11" t="s">
        <v>119</v>
      </c>
      <c r="F15" s="246" t="s">
        <v>286</v>
      </c>
      <c r="G15" s="11" t="s">
        <v>113</v>
      </c>
      <c r="H15" s="11" t="s">
        <v>113</v>
      </c>
      <c r="I15" s="11" t="s">
        <v>287</v>
      </c>
      <c r="J15" s="11">
        <v>1</v>
      </c>
      <c r="K15" s="11">
        <v>1</v>
      </c>
      <c r="L15" s="11">
        <v>1</v>
      </c>
      <c r="M15" s="11">
        <v>1</v>
      </c>
      <c r="N15" s="11">
        <v>1</v>
      </c>
      <c r="O15" s="11">
        <v>1</v>
      </c>
      <c r="P15" s="2">
        <v>1</v>
      </c>
      <c r="Q15" s="92">
        <v>20000000</v>
      </c>
      <c r="R15" s="131">
        <v>0.04</v>
      </c>
      <c r="S15" s="128">
        <f t="shared" si="0"/>
        <v>20000000</v>
      </c>
      <c r="T15" s="128">
        <f t="shared" si="1"/>
        <v>20800000</v>
      </c>
      <c r="U15" s="128">
        <f t="shared" si="2"/>
        <v>21632000</v>
      </c>
      <c r="V15" s="128">
        <f t="shared" si="3"/>
        <v>22497280</v>
      </c>
      <c r="W15" s="128">
        <f t="shared" si="4"/>
        <v>23397171.199999999</v>
      </c>
      <c r="X15" s="128">
        <f t="shared" si="5"/>
        <v>24333058.048</v>
      </c>
      <c r="Y15" s="128">
        <f t="shared" si="6"/>
        <v>25306380.36992</v>
      </c>
      <c r="Z15" s="94">
        <f t="shared" si="7"/>
        <v>157965889.61791998</v>
      </c>
      <c r="AA15" s="186">
        <f>Z15</f>
        <v>157965889.61791998</v>
      </c>
      <c r="AB15" s="191" t="s">
        <v>6</v>
      </c>
    </row>
    <row r="16" spans="1:28" s="14" customFormat="1" ht="96" customHeight="1" thickBot="1">
      <c r="A16" s="398"/>
      <c r="B16" s="235" t="s">
        <v>288</v>
      </c>
      <c r="C16" s="9" t="s">
        <v>273</v>
      </c>
      <c r="D16" s="9" t="s">
        <v>109</v>
      </c>
      <c r="E16" s="9" t="s">
        <v>119</v>
      </c>
      <c r="F16" s="235" t="s">
        <v>289</v>
      </c>
      <c r="G16" s="9" t="s">
        <v>113</v>
      </c>
      <c r="H16" s="9" t="s">
        <v>113</v>
      </c>
      <c r="I16" s="9" t="s">
        <v>290</v>
      </c>
      <c r="J16" s="9">
        <v>1</v>
      </c>
      <c r="K16" s="9">
        <v>1</v>
      </c>
      <c r="L16" s="9">
        <v>1</v>
      </c>
      <c r="M16" s="9">
        <v>1</v>
      </c>
      <c r="N16" s="9">
        <v>1</v>
      </c>
      <c r="O16" s="9">
        <v>1</v>
      </c>
      <c r="P16" s="12">
        <v>1</v>
      </c>
      <c r="Q16" s="130">
        <v>50000000</v>
      </c>
      <c r="R16" s="102">
        <v>0.04</v>
      </c>
      <c r="S16" s="103">
        <f t="shared" si="0"/>
        <v>50000000</v>
      </c>
      <c r="T16" s="103">
        <f t="shared" si="1"/>
        <v>52000000</v>
      </c>
      <c r="U16" s="103">
        <f t="shared" si="2"/>
        <v>54080000</v>
      </c>
      <c r="V16" s="103">
        <f t="shared" si="3"/>
        <v>56243200</v>
      </c>
      <c r="W16" s="103">
        <f t="shared" si="4"/>
        <v>58492928</v>
      </c>
      <c r="X16" s="103">
        <f t="shared" si="5"/>
        <v>60832645.120000005</v>
      </c>
      <c r="Y16" s="103">
        <f t="shared" si="6"/>
        <v>63265950.924800009</v>
      </c>
      <c r="Z16" s="104">
        <f t="shared" si="7"/>
        <v>394914724.04480004</v>
      </c>
      <c r="AA16" s="192">
        <f>Z16</f>
        <v>394914724.04480004</v>
      </c>
      <c r="AB16" s="189" t="s">
        <v>6</v>
      </c>
    </row>
    <row r="17" spans="1:28" s="14" customFormat="1" ht="65.25" customHeight="1">
      <c r="A17" s="397" t="s">
        <v>291</v>
      </c>
      <c r="B17" s="246" t="s">
        <v>292</v>
      </c>
      <c r="C17" s="11" t="s">
        <v>273</v>
      </c>
      <c r="D17" s="11" t="s">
        <v>293</v>
      </c>
      <c r="E17" s="11" t="s">
        <v>119</v>
      </c>
      <c r="F17" s="246" t="s">
        <v>294</v>
      </c>
      <c r="G17" s="11" t="s">
        <v>113</v>
      </c>
      <c r="H17" s="11" t="s">
        <v>113</v>
      </c>
      <c r="I17" s="11" t="s">
        <v>295</v>
      </c>
      <c r="J17" s="11">
        <v>1</v>
      </c>
      <c r="K17" s="11">
        <v>1</v>
      </c>
      <c r="L17" s="11">
        <v>1</v>
      </c>
      <c r="M17" s="11">
        <v>1</v>
      </c>
      <c r="N17" s="11">
        <v>1</v>
      </c>
      <c r="O17" s="11">
        <v>1</v>
      </c>
      <c r="P17" s="2">
        <v>1</v>
      </c>
      <c r="Q17" s="92">
        <v>5000000</v>
      </c>
      <c r="R17" s="93">
        <v>0.04</v>
      </c>
      <c r="S17" s="128">
        <f t="shared" si="0"/>
        <v>5000000</v>
      </c>
      <c r="T17" s="128">
        <f t="shared" si="1"/>
        <v>5200000</v>
      </c>
      <c r="U17" s="128">
        <f t="shared" si="2"/>
        <v>5408000</v>
      </c>
      <c r="V17" s="128">
        <f t="shared" si="3"/>
        <v>5624320</v>
      </c>
      <c r="W17" s="128">
        <f t="shared" si="4"/>
        <v>5849292.7999999998</v>
      </c>
      <c r="X17" s="128">
        <f t="shared" si="5"/>
        <v>6083264.5120000001</v>
      </c>
      <c r="Y17" s="128">
        <f t="shared" si="6"/>
        <v>6326595.0924800001</v>
      </c>
      <c r="Z17" s="94">
        <f t="shared" si="7"/>
        <v>39491472.404479995</v>
      </c>
      <c r="AA17" s="186">
        <f>Z17</f>
        <v>39491472.404479995</v>
      </c>
      <c r="AB17" s="191" t="s">
        <v>6</v>
      </c>
    </row>
    <row r="18" spans="1:28" s="14" customFormat="1" ht="60.75" customHeight="1">
      <c r="A18" s="399"/>
      <c r="B18" s="381" t="s">
        <v>296</v>
      </c>
      <c r="C18" s="382" t="s">
        <v>297</v>
      </c>
      <c r="D18" s="379" t="s">
        <v>285</v>
      </c>
      <c r="E18" s="45" t="s">
        <v>119</v>
      </c>
      <c r="F18" s="232" t="s">
        <v>298</v>
      </c>
      <c r="G18" s="45" t="s">
        <v>113</v>
      </c>
      <c r="H18" s="45" t="s">
        <v>113</v>
      </c>
      <c r="I18" s="45" t="s">
        <v>299</v>
      </c>
      <c r="J18" s="45">
        <v>1</v>
      </c>
      <c r="K18" s="45">
        <v>0</v>
      </c>
      <c r="L18" s="45">
        <v>0</v>
      </c>
      <c r="M18" s="45">
        <v>0</v>
      </c>
      <c r="N18" s="45">
        <v>0</v>
      </c>
      <c r="O18" s="45">
        <v>0</v>
      </c>
      <c r="P18" s="3">
        <v>0</v>
      </c>
      <c r="Q18" s="95">
        <v>60000000</v>
      </c>
      <c r="R18" s="96">
        <v>0.04</v>
      </c>
      <c r="S18" s="97">
        <f t="shared" si="0"/>
        <v>60000000</v>
      </c>
      <c r="T18" s="97">
        <f t="shared" si="1"/>
        <v>0</v>
      </c>
      <c r="U18" s="97">
        <f t="shared" si="2"/>
        <v>0</v>
      </c>
      <c r="V18" s="97">
        <f t="shared" si="3"/>
        <v>0</v>
      </c>
      <c r="W18" s="97">
        <f t="shared" si="4"/>
        <v>0</v>
      </c>
      <c r="X18" s="97">
        <f t="shared" si="5"/>
        <v>0</v>
      </c>
      <c r="Y18" s="97">
        <f t="shared" si="6"/>
        <v>0</v>
      </c>
      <c r="Z18" s="98">
        <f t="shared" si="7"/>
        <v>60000000</v>
      </c>
      <c r="AA18" s="299">
        <f>SUM(Z18:Z19)</f>
        <v>60000000</v>
      </c>
      <c r="AB18" s="333" t="s">
        <v>9</v>
      </c>
    </row>
    <row r="19" spans="1:28" s="14" customFormat="1" ht="55.5" customHeight="1">
      <c r="A19" s="399"/>
      <c r="B19" s="381"/>
      <c r="C19" s="382"/>
      <c r="D19" s="402"/>
      <c r="E19" s="45" t="s">
        <v>174</v>
      </c>
      <c r="F19" s="232" t="s">
        <v>300</v>
      </c>
      <c r="G19" s="45" t="s">
        <v>113</v>
      </c>
      <c r="H19" s="45" t="s">
        <v>113</v>
      </c>
      <c r="I19" s="45" t="s">
        <v>301</v>
      </c>
      <c r="J19" s="45">
        <v>0</v>
      </c>
      <c r="K19" s="15">
        <v>1</v>
      </c>
      <c r="L19" s="15">
        <v>1</v>
      </c>
      <c r="M19" s="15">
        <v>1</v>
      </c>
      <c r="N19" s="15">
        <v>1</v>
      </c>
      <c r="O19" s="15">
        <v>1</v>
      </c>
      <c r="P19" s="16">
        <v>1</v>
      </c>
      <c r="Q19" s="95">
        <v>0</v>
      </c>
      <c r="R19" s="96">
        <v>0.04</v>
      </c>
      <c r="S19" s="97">
        <f t="shared" si="0"/>
        <v>0</v>
      </c>
      <c r="T19" s="97">
        <f t="shared" si="1"/>
        <v>0</v>
      </c>
      <c r="U19" s="97">
        <f t="shared" si="2"/>
        <v>0</v>
      </c>
      <c r="V19" s="97">
        <f t="shared" si="3"/>
        <v>0</v>
      </c>
      <c r="W19" s="97">
        <f t="shared" si="4"/>
        <v>0</v>
      </c>
      <c r="X19" s="97">
        <f t="shared" si="5"/>
        <v>0</v>
      </c>
      <c r="Y19" s="97">
        <f t="shared" si="6"/>
        <v>0</v>
      </c>
      <c r="Z19" s="98">
        <f t="shared" si="7"/>
        <v>0</v>
      </c>
      <c r="AA19" s="299"/>
      <c r="AB19" s="332"/>
    </row>
    <row r="20" spans="1:28" s="14" customFormat="1" ht="81.75" customHeight="1">
      <c r="A20" s="399"/>
      <c r="B20" s="232" t="s">
        <v>302</v>
      </c>
      <c r="C20" s="45" t="s">
        <v>303</v>
      </c>
      <c r="D20" s="45" t="s">
        <v>293</v>
      </c>
      <c r="E20" s="45" t="s">
        <v>119</v>
      </c>
      <c r="F20" s="232" t="s">
        <v>304</v>
      </c>
      <c r="G20" s="45" t="s">
        <v>113</v>
      </c>
      <c r="H20" s="45" t="s">
        <v>113</v>
      </c>
      <c r="I20" s="45" t="s">
        <v>305</v>
      </c>
      <c r="J20" s="15">
        <v>1</v>
      </c>
      <c r="K20" s="15">
        <v>1</v>
      </c>
      <c r="L20" s="15">
        <v>1</v>
      </c>
      <c r="M20" s="15">
        <v>1</v>
      </c>
      <c r="N20" s="15">
        <v>1</v>
      </c>
      <c r="O20" s="15">
        <v>1</v>
      </c>
      <c r="P20" s="16">
        <v>1</v>
      </c>
      <c r="Q20" s="95">
        <v>0</v>
      </c>
      <c r="R20" s="96">
        <v>0.04</v>
      </c>
      <c r="S20" s="97">
        <f t="shared" si="0"/>
        <v>0</v>
      </c>
      <c r="T20" s="97">
        <f t="shared" si="1"/>
        <v>0</v>
      </c>
      <c r="U20" s="97">
        <f t="shared" si="2"/>
        <v>0</v>
      </c>
      <c r="V20" s="97">
        <f t="shared" si="3"/>
        <v>0</v>
      </c>
      <c r="W20" s="97">
        <f t="shared" si="4"/>
        <v>0</v>
      </c>
      <c r="X20" s="97">
        <f t="shared" si="5"/>
        <v>0</v>
      </c>
      <c r="Y20" s="97">
        <f t="shared" si="6"/>
        <v>0</v>
      </c>
      <c r="Z20" s="98">
        <f t="shared" si="7"/>
        <v>0</v>
      </c>
      <c r="AA20" s="183">
        <f>Z20</f>
        <v>0</v>
      </c>
      <c r="AB20" s="188" t="s">
        <v>15</v>
      </c>
    </row>
    <row r="21" spans="1:28" s="14" customFormat="1" ht="77.25" customHeight="1">
      <c r="A21" s="399"/>
      <c r="B21" s="381" t="s">
        <v>306</v>
      </c>
      <c r="C21" s="45" t="s">
        <v>297</v>
      </c>
      <c r="D21" s="379" t="s">
        <v>277</v>
      </c>
      <c r="E21" s="45" t="s">
        <v>119</v>
      </c>
      <c r="F21" s="232" t="s">
        <v>307</v>
      </c>
      <c r="G21" s="45" t="s">
        <v>113</v>
      </c>
      <c r="H21" s="45" t="s">
        <v>113</v>
      </c>
      <c r="I21" s="45" t="s">
        <v>308</v>
      </c>
      <c r="J21" s="45">
        <v>1</v>
      </c>
      <c r="K21" s="45">
        <v>0</v>
      </c>
      <c r="L21" s="45">
        <v>0</v>
      </c>
      <c r="M21" s="45">
        <v>0</v>
      </c>
      <c r="N21" s="45">
        <v>0</v>
      </c>
      <c r="O21" s="45">
        <v>0</v>
      </c>
      <c r="P21" s="3">
        <v>0</v>
      </c>
      <c r="Q21" s="95">
        <v>0</v>
      </c>
      <c r="R21" s="96">
        <v>0.04</v>
      </c>
      <c r="S21" s="97">
        <f t="shared" si="0"/>
        <v>0</v>
      </c>
      <c r="T21" s="97">
        <f t="shared" si="1"/>
        <v>0</v>
      </c>
      <c r="U21" s="97">
        <f t="shared" si="2"/>
        <v>0</v>
      </c>
      <c r="V21" s="97">
        <f t="shared" si="3"/>
        <v>0</v>
      </c>
      <c r="W21" s="97">
        <f t="shared" si="4"/>
        <v>0</v>
      </c>
      <c r="X21" s="97">
        <f t="shared" si="5"/>
        <v>0</v>
      </c>
      <c r="Y21" s="97">
        <f t="shared" si="6"/>
        <v>0</v>
      </c>
      <c r="Z21" s="98">
        <f t="shared" si="7"/>
        <v>0</v>
      </c>
      <c r="AA21" s="299">
        <f>SUM(Z21:Z22)</f>
        <v>72432092.049408004</v>
      </c>
      <c r="AB21" s="333" t="s">
        <v>9</v>
      </c>
    </row>
    <row r="22" spans="1:28" s="14" customFormat="1" ht="75" customHeight="1">
      <c r="A22" s="399"/>
      <c r="B22" s="381"/>
      <c r="C22" s="45" t="s">
        <v>297</v>
      </c>
      <c r="D22" s="402"/>
      <c r="E22" s="45" t="s">
        <v>174</v>
      </c>
      <c r="F22" s="232" t="s">
        <v>309</v>
      </c>
      <c r="G22" s="45" t="s">
        <v>113</v>
      </c>
      <c r="H22" s="45" t="s">
        <v>113</v>
      </c>
      <c r="I22" s="45" t="s">
        <v>310</v>
      </c>
      <c r="J22" s="45">
        <v>0</v>
      </c>
      <c r="K22" s="15">
        <v>1</v>
      </c>
      <c r="L22" s="15">
        <v>1</v>
      </c>
      <c r="M22" s="15">
        <v>1</v>
      </c>
      <c r="N22" s="15">
        <v>1</v>
      </c>
      <c r="O22" s="15">
        <v>1</v>
      </c>
      <c r="P22" s="16">
        <v>1</v>
      </c>
      <c r="Q22" s="95">
        <v>10500000</v>
      </c>
      <c r="R22" s="96">
        <v>0.04</v>
      </c>
      <c r="S22" s="97">
        <f t="shared" si="0"/>
        <v>0</v>
      </c>
      <c r="T22" s="97">
        <f t="shared" si="1"/>
        <v>10920000</v>
      </c>
      <c r="U22" s="97">
        <f t="shared" si="2"/>
        <v>11356800</v>
      </c>
      <c r="V22" s="97">
        <f t="shared" si="3"/>
        <v>11811072</v>
      </c>
      <c r="W22" s="97">
        <f t="shared" si="4"/>
        <v>12283514.880000001</v>
      </c>
      <c r="X22" s="97">
        <f t="shared" si="5"/>
        <v>12774855.475200001</v>
      </c>
      <c r="Y22" s="97">
        <f t="shared" si="6"/>
        <v>13285849.694208002</v>
      </c>
      <c r="Z22" s="98">
        <f t="shared" si="7"/>
        <v>72432092.049408004</v>
      </c>
      <c r="AA22" s="299"/>
      <c r="AB22" s="332"/>
    </row>
    <row r="23" spans="1:28" s="14" customFormat="1" ht="105" customHeight="1" thickBot="1">
      <c r="A23" s="398"/>
      <c r="B23" s="235" t="s">
        <v>311</v>
      </c>
      <c r="C23" s="9" t="s">
        <v>312</v>
      </c>
      <c r="D23" s="9" t="s">
        <v>313</v>
      </c>
      <c r="E23" s="9" t="s">
        <v>119</v>
      </c>
      <c r="F23" s="235" t="s">
        <v>314</v>
      </c>
      <c r="G23" s="9" t="s">
        <v>112</v>
      </c>
      <c r="H23" s="9" t="s">
        <v>113</v>
      </c>
      <c r="I23" s="9" t="s">
        <v>315</v>
      </c>
      <c r="J23" s="9">
        <v>6</v>
      </c>
      <c r="K23" s="9">
        <v>6</v>
      </c>
      <c r="L23" s="9">
        <v>6</v>
      </c>
      <c r="M23" s="9">
        <v>6</v>
      </c>
      <c r="N23" s="9">
        <v>6</v>
      </c>
      <c r="O23" s="9">
        <v>6</v>
      </c>
      <c r="P23" s="12">
        <v>6</v>
      </c>
      <c r="Q23" s="130">
        <v>0</v>
      </c>
      <c r="R23" s="102">
        <v>0.04</v>
      </c>
      <c r="S23" s="103">
        <f t="shared" si="0"/>
        <v>0</v>
      </c>
      <c r="T23" s="103">
        <f t="shared" si="1"/>
        <v>0</v>
      </c>
      <c r="U23" s="103">
        <f t="shared" si="2"/>
        <v>0</v>
      </c>
      <c r="V23" s="103">
        <f t="shared" si="3"/>
        <v>0</v>
      </c>
      <c r="W23" s="103">
        <f t="shared" si="4"/>
        <v>0</v>
      </c>
      <c r="X23" s="103">
        <f t="shared" si="5"/>
        <v>0</v>
      </c>
      <c r="Y23" s="103">
        <f t="shared" si="6"/>
        <v>0</v>
      </c>
      <c r="Z23" s="104">
        <f t="shared" si="7"/>
        <v>0</v>
      </c>
      <c r="AA23" s="192">
        <f>Z23</f>
        <v>0</v>
      </c>
      <c r="AB23" s="189" t="s">
        <v>15</v>
      </c>
    </row>
    <row r="24" spans="1:28" s="14" customFormat="1" ht="93.75" customHeight="1" thickBot="1">
      <c r="A24" s="73" t="s">
        <v>316</v>
      </c>
      <c r="B24" s="248" t="s">
        <v>317</v>
      </c>
      <c r="C24" s="61" t="s">
        <v>263</v>
      </c>
      <c r="D24" s="61" t="s">
        <v>274</v>
      </c>
      <c r="E24" s="61" t="s">
        <v>119</v>
      </c>
      <c r="F24" s="248" t="s">
        <v>318</v>
      </c>
      <c r="G24" s="61" t="s">
        <v>113</v>
      </c>
      <c r="H24" s="61" t="s">
        <v>113</v>
      </c>
      <c r="I24" s="61" t="s">
        <v>319</v>
      </c>
      <c r="J24" s="61">
        <v>1</v>
      </c>
      <c r="K24" s="61">
        <v>1</v>
      </c>
      <c r="L24" s="61">
        <v>1</v>
      </c>
      <c r="M24" s="61">
        <v>1</v>
      </c>
      <c r="N24" s="61">
        <v>1</v>
      </c>
      <c r="O24" s="61">
        <v>1</v>
      </c>
      <c r="P24" s="87">
        <v>1</v>
      </c>
      <c r="Q24" s="212">
        <v>0</v>
      </c>
      <c r="R24" s="132">
        <v>0.04</v>
      </c>
      <c r="S24" s="133">
        <f t="shared" si="0"/>
        <v>0</v>
      </c>
      <c r="T24" s="133">
        <f t="shared" si="1"/>
        <v>0</v>
      </c>
      <c r="U24" s="133">
        <f t="shared" si="2"/>
        <v>0</v>
      </c>
      <c r="V24" s="133">
        <f t="shared" si="3"/>
        <v>0</v>
      </c>
      <c r="W24" s="133">
        <f t="shared" si="4"/>
        <v>0</v>
      </c>
      <c r="X24" s="133">
        <f t="shared" si="5"/>
        <v>0</v>
      </c>
      <c r="Y24" s="133">
        <f t="shared" si="6"/>
        <v>0</v>
      </c>
      <c r="Z24" s="134">
        <f t="shared" si="7"/>
        <v>0</v>
      </c>
      <c r="AA24" s="194">
        <f>Z24</f>
        <v>0</v>
      </c>
      <c r="AB24" s="195" t="s">
        <v>15</v>
      </c>
    </row>
    <row r="25" spans="1:28" s="14" customFormat="1" ht="73.5" customHeight="1">
      <c r="A25" s="397" t="s">
        <v>320</v>
      </c>
      <c r="B25" s="246" t="s">
        <v>321</v>
      </c>
      <c r="C25" s="11" t="s">
        <v>322</v>
      </c>
      <c r="D25" s="11" t="s">
        <v>285</v>
      </c>
      <c r="E25" s="11" t="s">
        <v>119</v>
      </c>
      <c r="F25" s="246" t="s">
        <v>323</v>
      </c>
      <c r="G25" s="11" t="s">
        <v>113</v>
      </c>
      <c r="H25" s="11" t="s">
        <v>113</v>
      </c>
      <c r="I25" s="11">
        <v>0</v>
      </c>
      <c r="J25" s="11">
        <v>1</v>
      </c>
      <c r="K25" s="11">
        <v>1</v>
      </c>
      <c r="L25" s="11">
        <v>1</v>
      </c>
      <c r="M25" s="11">
        <v>1</v>
      </c>
      <c r="N25" s="11">
        <v>1</v>
      </c>
      <c r="O25" s="11">
        <v>1</v>
      </c>
      <c r="P25" s="2">
        <v>1</v>
      </c>
      <c r="Q25" s="92">
        <v>0</v>
      </c>
      <c r="R25" s="93">
        <v>0.04</v>
      </c>
      <c r="S25" s="128">
        <f t="shared" si="0"/>
        <v>0</v>
      </c>
      <c r="T25" s="128">
        <f t="shared" si="1"/>
        <v>0</v>
      </c>
      <c r="U25" s="128">
        <f t="shared" si="2"/>
        <v>0</v>
      </c>
      <c r="V25" s="128">
        <f t="shared" si="3"/>
        <v>0</v>
      </c>
      <c r="W25" s="128">
        <f t="shared" si="4"/>
        <v>0</v>
      </c>
      <c r="X25" s="128">
        <f t="shared" si="5"/>
        <v>0</v>
      </c>
      <c r="Y25" s="128">
        <f t="shared" si="6"/>
        <v>0</v>
      </c>
      <c r="Z25" s="94">
        <f t="shared" si="7"/>
        <v>0</v>
      </c>
      <c r="AA25" s="186">
        <f>Z25</f>
        <v>0</v>
      </c>
      <c r="AB25" s="191" t="s">
        <v>15</v>
      </c>
    </row>
    <row r="26" spans="1:28" s="14" customFormat="1" ht="65.25" customHeight="1">
      <c r="A26" s="399"/>
      <c r="B26" s="381" t="s">
        <v>324</v>
      </c>
      <c r="C26" s="45" t="s">
        <v>263</v>
      </c>
      <c r="D26" s="379" t="s">
        <v>285</v>
      </c>
      <c r="E26" s="45" t="s">
        <v>119</v>
      </c>
      <c r="F26" s="232" t="s">
        <v>325</v>
      </c>
      <c r="G26" s="45" t="s">
        <v>113</v>
      </c>
      <c r="H26" s="45" t="s">
        <v>113</v>
      </c>
      <c r="I26" s="45" t="s">
        <v>326</v>
      </c>
      <c r="J26" s="45">
        <v>1</v>
      </c>
      <c r="K26" s="45">
        <v>0</v>
      </c>
      <c r="L26" s="45">
        <v>0</v>
      </c>
      <c r="M26" s="45">
        <v>0</v>
      </c>
      <c r="N26" s="45">
        <v>0</v>
      </c>
      <c r="O26" s="45">
        <v>0</v>
      </c>
      <c r="P26" s="3">
        <v>0</v>
      </c>
      <c r="Q26" s="95">
        <v>0</v>
      </c>
      <c r="R26" s="96">
        <v>0.04</v>
      </c>
      <c r="S26" s="97">
        <f t="shared" si="0"/>
        <v>0</v>
      </c>
      <c r="T26" s="97">
        <f>IF(K26&lt;&gt;0,(IF(S26&lt;&gt;0,(S26*$R$2),($Q26*$R$2))),0)</f>
        <v>0</v>
      </c>
      <c r="U26" s="97">
        <f t="shared" si="2"/>
        <v>0</v>
      </c>
      <c r="V26" s="97">
        <f t="shared" si="3"/>
        <v>0</v>
      </c>
      <c r="W26" s="97">
        <f t="shared" si="4"/>
        <v>0</v>
      </c>
      <c r="X26" s="97">
        <f t="shared" si="5"/>
        <v>0</v>
      </c>
      <c r="Y26" s="97">
        <f t="shared" si="6"/>
        <v>0</v>
      </c>
      <c r="Z26" s="98">
        <f t="shared" si="7"/>
        <v>0</v>
      </c>
      <c r="AA26" s="299">
        <f>SUM(Z26:Z27)</f>
        <v>0</v>
      </c>
      <c r="AB26" s="333" t="s">
        <v>15</v>
      </c>
    </row>
    <row r="27" spans="1:28" s="14" customFormat="1" ht="65.25" customHeight="1" thickBot="1">
      <c r="A27" s="405"/>
      <c r="B27" s="384"/>
      <c r="C27" s="8" t="s">
        <v>263</v>
      </c>
      <c r="D27" s="380"/>
      <c r="E27" s="8" t="s">
        <v>174</v>
      </c>
      <c r="F27" s="247" t="s">
        <v>327</v>
      </c>
      <c r="G27" s="8" t="s">
        <v>113</v>
      </c>
      <c r="H27" s="8" t="s">
        <v>113</v>
      </c>
      <c r="I27" s="8" t="s">
        <v>328</v>
      </c>
      <c r="J27" s="8">
        <v>0</v>
      </c>
      <c r="K27" s="5">
        <v>1</v>
      </c>
      <c r="L27" s="5">
        <v>1</v>
      </c>
      <c r="M27" s="5">
        <v>1</v>
      </c>
      <c r="N27" s="5">
        <v>1</v>
      </c>
      <c r="O27" s="5">
        <v>1</v>
      </c>
      <c r="P27" s="19">
        <v>1</v>
      </c>
      <c r="Q27" s="130">
        <v>0</v>
      </c>
      <c r="R27" s="102">
        <v>0.04</v>
      </c>
      <c r="S27" s="103">
        <f t="shared" si="0"/>
        <v>0</v>
      </c>
      <c r="T27" s="103">
        <f t="shared" si="1"/>
        <v>0</v>
      </c>
      <c r="U27" s="103">
        <f t="shared" si="2"/>
        <v>0</v>
      </c>
      <c r="V27" s="103">
        <f t="shared" si="3"/>
        <v>0</v>
      </c>
      <c r="W27" s="103">
        <f t="shared" si="4"/>
        <v>0</v>
      </c>
      <c r="X27" s="103">
        <f t="shared" si="5"/>
        <v>0</v>
      </c>
      <c r="Y27" s="103">
        <f t="shared" si="6"/>
        <v>0</v>
      </c>
      <c r="Z27" s="104">
        <f t="shared" si="7"/>
        <v>0</v>
      </c>
      <c r="AA27" s="389"/>
      <c r="AB27" s="328"/>
    </row>
    <row r="28" spans="1:28">
      <c r="D28" s="25"/>
      <c r="E28" s="25"/>
      <c r="G28" s="25"/>
      <c r="H28" s="25"/>
    </row>
    <row r="29" spans="1:28">
      <c r="A29" s="396"/>
      <c r="B29" s="396"/>
      <c r="C29" s="396"/>
      <c r="D29" s="396"/>
      <c r="E29" s="396"/>
      <c r="F29" s="396"/>
      <c r="G29" s="396"/>
      <c r="H29" s="396"/>
      <c r="I29" s="396"/>
      <c r="J29" s="396"/>
      <c r="K29" s="396"/>
      <c r="L29" s="396"/>
      <c r="M29" s="396"/>
      <c r="N29" s="396"/>
      <c r="O29" s="396"/>
      <c r="P29" s="396"/>
    </row>
  </sheetData>
  <sheetProtection algorithmName="SHA-512" hashValue="I2pPYfddTEqGgTuFtf9PvsFWJ1K5cEpy6InejEXaSj3nMH9fxIKLTyewriatw7NLvISjKTLlYDnj28le1E3dgA==" saltValue="doDUJiFuE8RTXZl2IW/nVA==" spinCount="100000" sheet="1" objects="1" scenarios="1"/>
  <mergeCells count="50">
    <mergeCell ref="AB7:AB9"/>
    <mergeCell ref="AB10:AB11"/>
    <mergeCell ref="AB13:AB14"/>
    <mergeCell ref="AB18:AB19"/>
    <mergeCell ref="AB21:AB22"/>
    <mergeCell ref="AB26:AB27"/>
    <mergeCell ref="AB3:AB4"/>
    <mergeCell ref="Q3:Q4"/>
    <mergeCell ref="A15:A16"/>
    <mergeCell ref="A17:A23"/>
    <mergeCell ref="B18:B19"/>
    <mergeCell ref="C18:C19"/>
    <mergeCell ref="B21:B22"/>
    <mergeCell ref="A25:A27"/>
    <mergeCell ref="B26:B27"/>
    <mergeCell ref="D10:D11"/>
    <mergeCell ref="D13:D14"/>
    <mergeCell ref="D18:D19"/>
    <mergeCell ref="D21:D22"/>
    <mergeCell ref="AA10:AA11"/>
    <mergeCell ref="AA13:AA14"/>
    <mergeCell ref="A1:P1"/>
    <mergeCell ref="A3:A4"/>
    <mergeCell ref="B3:B4"/>
    <mergeCell ref="C3:C4"/>
    <mergeCell ref="A2:P2"/>
    <mergeCell ref="A29:P29"/>
    <mergeCell ref="J3:P3"/>
    <mergeCell ref="A5:A6"/>
    <mergeCell ref="A7:A11"/>
    <mergeCell ref="B7:B9"/>
    <mergeCell ref="B10:B11"/>
    <mergeCell ref="A12:A14"/>
    <mergeCell ref="D3:D4"/>
    <mergeCell ref="E3:E4"/>
    <mergeCell ref="F3:F4"/>
    <mergeCell ref="G3:G4"/>
    <mergeCell ref="H3:H4"/>
    <mergeCell ref="I3:I4"/>
    <mergeCell ref="B13:B14"/>
    <mergeCell ref="D26:D27"/>
    <mergeCell ref="D7:D9"/>
    <mergeCell ref="AA26:AA27"/>
    <mergeCell ref="AA18:AA19"/>
    <mergeCell ref="R3:R4"/>
    <mergeCell ref="S3:Y3"/>
    <mergeCell ref="Z3:Z4"/>
    <mergeCell ref="AA3:AA4"/>
    <mergeCell ref="AA7:AA9"/>
    <mergeCell ref="AA21:AA22"/>
  </mergeCells>
  <pageMargins left="0.7" right="0.7" top="0.75" bottom="0.75" header="0.3" footer="0.3"/>
  <pageSetup orientation="portrait" horizontalDpi="1200" verticalDpi="1200" r:id="rId1"/>
  <ignoredErrors>
    <ignoredError sqref="Z13 Z20 Z27 AA24 Z12 Z14 AA25:AA27 AA21 Z16 Z17 Z18 Z19 Z21 Z22 Z23 Z24 Z25 Z26 T22:Y24 T25:Y25 T27:Y27 U26:Y26"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Hoja2!$C$15:$C$17</xm:f>
          </x14:formula1>
          <xm:sqref>G5:G27</xm:sqref>
        </x14:dataValidation>
        <x14:dataValidation type="list" allowBlank="1" showInputMessage="1" showErrorMessage="1" xr:uid="{00000000-0002-0000-0400-000001000000}">
          <x14:formula1>
            <xm:f>Hoja2!$A$1:$A$3</xm:f>
          </x14:formula1>
          <xm:sqref>E5:E27</xm:sqref>
        </x14:dataValidation>
        <x14:dataValidation type="list" allowBlank="1" showInputMessage="1" showErrorMessage="1" xr:uid="{00000000-0002-0000-0400-000002000000}">
          <x14:formula1>
            <xm:f>Hoja2!$E$15:$E$26</xm:f>
          </x14:formula1>
          <xm:sqref>AB5:AB27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21"/>
  <sheetViews>
    <sheetView zoomScale="80" zoomScaleNormal="80" zoomScalePageLayoutView="50" workbookViewId="0">
      <selection sqref="A1:P1"/>
    </sheetView>
  </sheetViews>
  <sheetFormatPr defaultColWidth="11" defaultRowHeight="15.75"/>
  <cols>
    <col min="1" max="1" width="28.375" customWidth="1"/>
    <col min="2" max="2" width="52.875" customWidth="1"/>
    <col min="3" max="3" width="22.125" customWidth="1"/>
    <col min="5" max="5" width="13.5" customWidth="1"/>
    <col min="6" max="6" width="31.125" customWidth="1"/>
    <col min="7" max="7" width="14.875" customWidth="1"/>
    <col min="8" max="8" width="19.625" customWidth="1"/>
    <col min="9" max="9" width="18.125" customWidth="1"/>
    <col min="10" max="16" width="6.375" customWidth="1"/>
    <col min="17" max="17" width="18.125" style="105" customWidth="1"/>
    <col min="18" max="18" width="7.875" customWidth="1"/>
    <col min="19" max="25" width="16.125" customWidth="1"/>
    <col min="26" max="27" width="23.625" customWidth="1"/>
    <col min="28" max="28" width="27.625" customWidth="1"/>
  </cols>
  <sheetData>
    <row r="1" spans="1:28" ht="32.1" customHeight="1">
      <c r="A1" s="347" t="s">
        <v>91</v>
      </c>
      <c r="B1" s="347"/>
      <c r="C1" s="347"/>
      <c r="D1" s="347"/>
      <c r="E1" s="347"/>
      <c r="F1" s="347"/>
      <c r="G1" s="347"/>
      <c r="H1" s="347"/>
      <c r="I1" s="347"/>
      <c r="J1" s="347"/>
      <c r="K1" s="347"/>
      <c r="L1" s="347"/>
      <c r="M1" s="347"/>
      <c r="N1" s="347"/>
      <c r="O1" s="347"/>
      <c r="P1" s="347"/>
    </row>
    <row r="2" spans="1:28" ht="12" customHeight="1" thickBot="1">
      <c r="A2" s="403"/>
      <c r="B2" s="403"/>
      <c r="C2" s="403"/>
      <c r="D2" s="403"/>
      <c r="E2" s="403"/>
      <c r="F2" s="403"/>
      <c r="G2" s="403"/>
      <c r="H2" s="403"/>
      <c r="I2" s="403"/>
      <c r="J2" s="403"/>
      <c r="K2" s="403"/>
      <c r="L2" s="403"/>
      <c r="M2" s="403"/>
      <c r="N2" s="403"/>
      <c r="O2" s="403"/>
      <c r="P2" s="404"/>
      <c r="R2" s="224">
        <f>R5+1</f>
        <v>1.04</v>
      </c>
    </row>
    <row r="3" spans="1:28" ht="22.5" customHeight="1">
      <c r="A3" s="361" t="s">
        <v>92</v>
      </c>
      <c r="B3" s="324" t="s">
        <v>93</v>
      </c>
      <c r="C3" s="324" t="s">
        <v>94</v>
      </c>
      <c r="D3" s="324" t="s">
        <v>35</v>
      </c>
      <c r="E3" s="326" t="s">
        <v>95</v>
      </c>
      <c r="F3" s="326" t="s">
        <v>96</v>
      </c>
      <c r="G3" s="324" t="s">
        <v>97</v>
      </c>
      <c r="H3" s="324" t="s">
        <v>98</v>
      </c>
      <c r="I3" s="326" t="s">
        <v>99</v>
      </c>
      <c r="J3" s="356" t="s">
        <v>100</v>
      </c>
      <c r="K3" s="356"/>
      <c r="L3" s="356"/>
      <c r="M3" s="356"/>
      <c r="N3" s="356"/>
      <c r="O3" s="356"/>
      <c r="P3" s="356"/>
      <c r="Q3" s="334" t="s">
        <v>101</v>
      </c>
      <c r="R3" s="336" t="s">
        <v>102</v>
      </c>
      <c r="S3" s="338" t="s">
        <v>103</v>
      </c>
      <c r="T3" s="338"/>
      <c r="U3" s="338"/>
      <c r="V3" s="338"/>
      <c r="W3" s="338"/>
      <c r="X3" s="338"/>
      <c r="Y3" s="392"/>
      <c r="Z3" s="339" t="s">
        <v>104</v>
      </c>
      <c r="AA3" s="394" t="s">
        <v>105</v>
      </c>
      <c r="AB3" s="377" t="s">
        <v>2</v>
      </c>
    </row>
    <row r="4" spans="1:28" ht="22.5" customHeight="1" thickBot="1">
      <c r="A4" s="362"/>
      <c r="B4" s="325"/>
      <c r="C4" s="325"/>
      <c r="D4" s="325"/>
      <c r="E4" s="324"/>
      <c r="F4" s="324"/>
      <c r="G4" s="325"/>
      <c r="H4" s="325"/>
      <c r="I4" s="324"/>
      <c r="J4" s="1">
        <v>2021</v>
      </c>
      <c r="K4" s="1">
        <v>2022</v>
      </c>
      <c r="L4" s="1">
        <v>2023</v>
      </c>
      <c r="M4" s="1">
        <v>2024</v>
      </c>
      <c r="N4" s="1">
        <v>2025</v>
      </c>
      <c r="O4" s="1">
        <v>2026</v>
      </c>
      <c r="P4" s="1">
        <v>2027</v>
      </c>
      <c r="Q4" s="390"/>
      <c r="R4" s="391"/>
      <c r="S4" s="90">
        <v>2021</v>
      </c>
      <c r="T4" s="90">
        <v>2022</v>
      </c>
      <c r="U4" s="90">
        <v>2023</v>
      </c>
      <c r="V4" s="90">
        <v>2024</v>
      </c>
      <c r="W4" s="90">
        <v>2025</v>
      </c>
      <c r="X4" s="90">
        <v>2026</v>
      </c>
      <c r="Y4" s="91">
        <v>2027</v>
      </c>
      <c r="Z4" s="393"/>
      <c r="AA4" s="395"/>
      <c r="AB4" s="378"/>
    </row>
    <row r="5" spans="1:28" s="14" customFormat="1" ht="78" customHeight="1">
      <c r="A5" s="397" t="s">
        <v>329</v>
      </c>
      <c r="B5" s="386" t="s">
        <v>330</v>
      </c>
      <c r="C5" s="387" t="s">
        <v>331</v>
      </c>
      <c r="D5" s="387" t="s">
        <v>274</v>
      </c>
      <c r="E5" s="11" t="s">
        <v>119</v>
      </c>
      <c r="F5" s="236" t="s">
        <v>332</v>
      </c>
      <c r="G5" s="11" t="s">
        <v>113</v>
      </c>
      <c r="H5" s="11" t="s">
        <v>113</v>
      </c>
      <c r="I5" s="17">
        <v>0</v>
      </c>
      <c r="J5" s="11">
        <v>1</v>
      </c>
      <c r="K5" s="11">
        <v>1</v>
      </c>
      <c r="L5" s="11">
        <v>1</v>
      </c>
      <c r="M5" s="11">
        <v>1</v>
      </c>
      <c r="N5" s="11">
        <v>1</v>
      </c>
      <c r="O5" s="11">
        <v>1</v>
      </c>
      <c r="P5" s="2">
        <v>1</v>
      </c>
      <c r="Q5" s="92">
        <v>0</v>
      </c>
      <c r="R5" s="93">
        <v>0.04</v>
      </c>
      <c r="S5" s="97">
        <f t="shared" ref="S5:S14" si="0">IF(J5&lt;&gt;0,Q5,0)</f>
        <v>0</v>
      </c>
      <c r="T5" s="97">
        <f t="shared" ref="T5:T14" si="1">IF(K5&lt;&gt;0,(IF(S5&lt;&gt;0,(S5*$R$2),($Q5*$R$2))),0)</f>
        <v>0</v>
      </c>
      <c r="U5" s="97">
        <f t="shared" ref="U5:U14" si="2">IF(L5&lt;&gt;0,(IF(T5&lt;&gt;0,(T5*$R$2),(($Q5*$R$2)*$R$2))),0)</f>
        <v>0</v>
      </c>
      <c r="V5" s="97">
        <f t="shared" ref="V5:V14" si="3">IF(M5&lt;&gt;0,(IF(U5&lt;&gt;0,(U5*$R$2),(($Q5*$R$2)*$R$2*$R$2))),0)</f>
        <v>0</v>
      </c>
      <c r="W5" s="97">
        <f t="shared" ref="W5:W14" si="4">IF(N5&lt;&gt;0,(IF(V5&lt;&gt;0,(V5*$R$2),(($Q5*$R$2)*$R$2*$R$2*$R$2))),0)</f>
        <v>0</v>
      </c>
      <c r="X5" s="97">
        <f t="shared" ref="X5:X14" si="5">IF(O5&lt;&gt;0,(IF(W5&lt;&gt;0,(W5*$R$2),(($Q5*$R$2)*$R$2*$R$2*$R$2*$R$2))),0)</f>
        <v>0</v>
      </c>
      <c r="Y5" s="97">
        <f t="shared" ref="Y5:Y14" si="6">IF(P5&lt;&gt;0,(IF(X5&lt;&gt;0,(X5*$R$2),(($Q5*$R$2)*$R$2*$R$2*$R$2*$R$2*$R$2))),0)</f>
        <v>0</v>
      </c>
      <c r="Z5" s="94">
        <f>SUM(S5:Y5)</f>
        <v>0</v>
      </c>
      <c r="AA5" s="344">
        <f>SUM(Z5:Z6)</f>
        <v>0</v>
      </c>
      <c r="AB5" s="333" t="s">
        <v>15</v>
      </c>
    </row>
    <row r="6" spans="1:28" s="14" customFormat="1" ht="105" customHeight="1" thickBot="1">
      <c r="A6" s="398"/>
      <c r="B6" s="383"/>
      <c r="C6" s="379"/>
      <c r="D6" s="379"/>
      <c r="E6" s="9" t="s">
        <v>174</v>
      </c>
      <c r="F6" s="235" t="s">
        <v>333</v>
      </c>
      <c r="G6" s="9" t="s">
        <v>113</v>
      </c>
      <c r="H6" s="9" t="s">
        <v>113</v>
      </c>
      <c r="I6" s="26">
        <v>0.33</v>
      </c>
      <c r="J6" s="27">
        <v>0.5</v>
      </c>
      <c r="K6" s="27">
        <v>0.52</v>
      </c>
      <c r="L6" s="27">
        <v>0.57999999999999996</v>
      </c>
      <c r="M6" s="27">
        <v>0.6</v>
      </c>
      <c r="N6" s="27">
        <v>0.62</v>
      </c>
      <c r="O6" s="27">
        <v>0.68</v>
      </c>
      <c r="P6" s="28">
        <v>0.7</v>
      </c>
      <c r="Q6" s="130">
        <v>0</v>
      </c>
      <c r="R6" s="102">
        <v>0.04</v>
      </c>
      <c r="S6" s="103">
        <f t="shared" si="0"/>
        <v>0</v>
      </c>
      <c r="T6" s="103">
        <f t="shared" si="1"/>
        <v>0</v>
      </c>
      <c r="U6" s="103">
        <f t="shared" si="2"/>
        <v>0</v>
      </c>
      <c r="V6" s="103">
        <f t="shared" si="3"/>
        <v>0</v>
      </c>
      <c r="W6" s="103">
        <f t="shared" si="4"/>
        <v>0</v>
      </c>
      <c r="X6" s="103">
        <f t="shared" si="5"/>
        <v>0</v>
      </c>
      <c r="Y6" s="103">
        <f t="shared" si="6"/>
        <v>0</v>
      </c>
      <c r="Z6" s="104">
        <f t="shared" ref="Z6:Z14" si="7">SUM(S6:Y6)</f>
        <v>0</v>
      </c>
      <c r="AA6" s="374"/>
      <c r="AB6" s="328"/>
    </row>
    <row r="7" spans="1:28" s="14" customFormat="1" ht="71.25" customHeight="1">
      <c r="A7" s="397" t="s">
        <v>334</v>
      </c>
      <c r="B7" s="386" t="s">
        <v>335</v>
      </c>
      <c r="C7" s="387" t="s">
        <v>336</v>
      </c>
      <c r="D7" s="387" t="s">
        <v>337</v>
      </c>
      <c r="E7" s="11" t="s">
        <v>119</v>
      </c>
      <c r="F7" s="246" t="s">
        <v>338</v>
      </c>
      <c r="G7" s="11" t="s">
        <v>113</v>
      </c>
      <c r="H7" s="11" t="s">
        <v>113</v>
      </c>
      <c r="I7" s="17" t="s">
        <v>339</v>
      </c>
      <c r="J7" s="29">
        <v>1</v>
      </c>
      <c r="K7" s="29">
        <v>0</v>
      </c>
      <c r="L7" s="29">
        <v>0</v>
      </c>
      <c r="M7" s="29">
        <v>0</v>
      </c>
      <c r="N7" s="29">
        <v>0</v>
      </c>
      <c r="O7" s="29">
        <v>0</v>
      </c>
      <c r="P7" s="30">
        <v>0</v>
      </c>
      <c r="Q7" s="92">
        <v>0</v>
      </c>
      <c r="R7" s="93">
        <v>0.04</v>
      </c>
      <c r="S7" s="128">
        <f t="shared" si="0"/>
        <v>0</v>
      </c>
      <c r="T7" s="128">
        <f t="shared" si="1"/>
        <v>0</v>
      </c>
      <c r="U7" s="128">
        <f t="shared" si="2"/>
        <v>0</v>
      </c>
      <c r="V7" s="128">
        <f t="shared" si="3"/>
        <v>0</v>
      </c>
      <c r="W7" s="128">
        <f t="shared" si="4"/>
        <v>0</v>
      </c>
      <c r="X7" s="128">
        <f t="shared" si="5"/>
        <v>0</v>
      </c>
      <c r="Y7" s="128">
        <f t="shared" si="6"/>
        <v>0</v>
      </c>
      <c r="Z7" s="94">
        <f t="shared" si="7"/>
        <v>0</v>
      </c>
      <c r="AA7" s="341">
        <f>SUM(Z7:Z11)</f>
        <v>1479658896.1792002</v>
      </c>
      <c r="AB7" s="331" t="s">
        <v>14</v>
      </c>
    </row>
    <row r="8" spans="1:28" s="14" customFormat="1" ht="55.5" customHeight="1">
      <c r="A8" s="399"/>
      <c r="B8" s="381"/>
      <c r="C8" s="382"/>
      <c r="D8" s="382"/>
      <c r="E8" s="45" t="s">
        <v>174</v>
      </c>
      <c r="F8" s="232" t="s">
        <v>340</v>
      </c>
      <c r="G8" s="45" t="s">
        <v>113</v>
      </c>
      <c r="H8" s="45" t="s">
        <v>140</v>
      </c>
      <c r="I8" s="31">
        <v>0</v>
      </c>
      <c r="J8" s="15">
        <v>0.2</v>
      </c>
      <c r="K8" s="15">
        <v>0.3</v>
      </c>
      <c r="L8" s="15">
        <v>0.4</v>
      </c>
      <c r="M8" s="15">
        <v>0.5</v>
      </c>
      <c r="N8" s="15">
        <v>0.6</v>
      </c>
      <c r="O8" s="15">
        <v>0.7</v>
      </c>
      <c r="P8" s="16">
        <v>0.8</v>
      </c>
      <c r="Q8" s="95">
        <v>0</v>
      </c>
      <c r="R8" s="96">
        <v>0.04</v>
      </c>
      <c r="S8" s="97">
        <f t="shared" si="0"/>
        <v>0</v>
      </c>
      <c r="T8" s="97">
        <f t="shared" si="1"/>
        <v>0</v>
      </c>
      <c r="U8" s="97">
        <f t="shared" si="2"/>
        <v>0</v>
      </c>
      <c r="V8" s="97">
        <f t="shared" si="3"/>
        <v>0</v>
      </c>
      <c r="W8" s="97">
        <f t="shared" si="4"/>
        <v>0</v>
      </c>
      <c r="X8" s="97">
        <f t="shared" si="5"/>
        <v>0</v>
      </c>
      <c r="Y8" s="97">
        <f t="shared" si="6"/>
        <v>0</v>
      </c>
      <c r="Z8" s="98">
        <f t="shared" si="7"/>
        <v>0</v>
      </c>
      <c r="AA8" s="299"/>
      <c r="AB8" s="327"/>
    </row>
    <row r="9" spans="1:28" s="14" customFormat="1" ht="87.75" customHeight="1">
      <c r="A9" s="399"/>
      <c r="B9" s="381"/>
      <c r="C9" s="382"/>
      <c r="D9" s="382"/>
      <c r="E9" s="45" t="s">
        <v>174</v>
      </c>
      <c r="F9" s="232" t="s">
        <v>341</v>
      </c>
      <c r="G9" s="45" t="s">
        <v>113</v>
      </c>
      <c r="H9" s="45" t="s">
        <v>113</v>
      </c>
      <c r="I9" s="31">
        <v>3</v>
      </c>
      <c r="J9" s="32">
        <v>0</v>
      </c>
      <c r="K9" s="32">
        <v>1</v>
      </c>
      <c r="L9" s="32">
        <v>1</v>
      </c>
      <c r="M9" s="32">
        <v>2</v>
      </c>
      <c r="N9" s="32">
        <v>2</v>
      </c>
      <c r="O9" s="32">
        <v>2</v>
      </c>
      <c r="P9" s="33">
        <v>2</v>
      </c>
      <c r="Q9" s="95">
        <v>0</v>
      </c>
      <c r="R9" s="96">
        <v>0.04</v>
      </c>
      <c r="S9" s="97">
        <f t="shared" si="0"/>
        <v>0</v>
      </c>
      <c r="T9" s="97">
        <f t="shared" si="1"/>
        <v>0</v>
      </c>
      <c r="U9" s="97">
        <f t="shared" si="2"/>
        <v>0</v>
      </c>
      <c r="V9" s="97">
        <f t="shared" si="3"/>
        <v>0</v>
      </c>
      <c r="W9" s="97">
        <f t="shared" si="4"/>
        <v>0</v>
      </c>
      <c r="X9" s="97">
        <f t="shared" si="5"/>
        <v>0</v>
      </c>
      <c r="Y9" s="97">
        <f t="shared" si="6"/>
        <v>0</v>
      </c>
      <c r="Z9" s="98">
        <f t="shared" si="7"/>
        <v>0</v>
      </c>
      <c r="AA9" s="299"/>
      <c r="AB9" s="327"/>
    </row>
    <row r="10" spans="1:28" s="14" customFormat="1" ht="72.75" customHeight="1">
      <c r="A10" s="399"/>
      <c r="B10" s="381"/>
      <c r="C10" s="382"/>
      <c r="D10" s="382"/>
      <c r="E10" s="45" t="s">
        <v>174</v>
      </c>
      <c r="F10" s="232" t="s">
        <v>342</v>
      </c>
      <c r="G10" s="45" t="s">
        <v>113</v>
      </c>
      <c r="H10" s="45" t="s">
        <v>113</v>
      </c>
      <c r="I10" s="31">
        <v>0</v>
      </c>
      <c r="J10" s="32">
        <v>0</v>
      </c>
      <c r="K10" s="32">
        <v>1</v>
      </c>
      <c r="L10" s="32">
        <v>1</v>
      </c>
      <c r="M10" s="32">
        <v>2</v>
      </c>
      <c r="N10" s="32">
        <v>2</v>
      </c>
      <c r="O10" s="32">
        <v>2</v>
      </c>
      <c r="P10" s="33">
        <v>2</v>
      </c>
      <c r="Q10" s="95">
        <v>100000000</v>
      </c>
      <c r="R10" s="96">
        <v>0.04</v>
      </c>
      <c r="S10" s="97">
        <f t="shared" si="0"/>
        <v>0</v>
      </c>
      <c r="T10" s="97">
        <f t="shared" si="1"/>
        <v>104000000</v>
      </c>
      <c r="U10" s="97">
        <f t="shared" si="2"/>
        <v>108160000</v>
      </c>
      <c r="V10" s="97">
        <f t="shared" si="3"/>
        <v>112486400</v>
      </c>
      <c r="W10" s="97">
        <f t="shared" si="4"/>
        <v>116985856</v>
      </c>
      <c r="X10" s="97">
        <f t="shared" si="5"/>
        <v>121665290.24000001</v>
      </c>
      <c r="Y10" s="97">
        <f t="shared" si="6"/>
        <v>126531901.84960002</v>
      </c>
      <c r="Z10" s="98">
        <f t="shared" si="7"/>
        <v>689829448.08960009</v>
      </c>
      <c r="AA10" s="299"/>
      <c r="AB10" s="327"/>
    </row>
    <row r="11" spans="1:28" s="14" customFormat="1" ht="75.75" customHeight="1">
      <c r="A11" s="399"/>
      <c r="B11" s="381"/>
      <c r="C11" s="382"/>
      <c r="D11" s="382"/>
      <c r="E11" s="45" t="s">
        <v>174</v>
      </c>
      <c r="F11" s="232" t="s">
        <v>343</v>
      </c>
      <c r="G11" s="45" t="s">
        <v>113</v>
      </c>
      <c r="H11" s="45" t="s">
        <v>140</v>
      </c>
      <c r="I11" s="31">
        <v>0</v>
      </c>
      <c r="J11" s="34">
        <f>1/10</f>
        <v>0.1</v>
      </c>
      <c r="K11" s="34">
        <f>3/13</f>
        <v>0.23076923076923078</v>
      </c>
      <c r="L11" s="34">
        <f>3/14</f>
        <v>0.21428571428571427</v>
      </c>
      <c r="M11" s="34">
        <f>4/15</f>
        <v>0.26666666666666666</v>
      </c>
      <c r="N11" s="34">
        <f>5/20</f>
        <v>0.25</v>
      </c>
      <c r="O11" s="34">
        <f>7/22</f>
        <v>0.31818181818181818</v>
      </c>
      <c r="P11" s="35">
        <f>7/22</f>
        <v>0.31818181818181818</v>
      </c>
      <c r="Q11" s="95">
        <v>100000000</v>
      </c>
      <c r="R11" s="96">
        <v>0.04</v>
      </c>
      <c r="S11" s="97">
        <f t="shared" si="0"/>
        <v>100000000</v>
      </c>
      <c r="T11" s="97">
        <f t="shared" si="1"/>
        <v>104000000</v>
      </c>
      <c r="U11" s="97">
        <f t="shared" si="2"/>
        <v>108160000</v>
      </c>
      <c r="V11" s="97">
        <f t="shared" si="3"/>
        <v>112486400</v>
      </c>
      <c r="W11" s="97">
        <f t="shared" si="4"/>
        <v>116985856</v>
      </c>
      <c r="X11" s="97">
        <f t="shared" si="5"/>
        <v>121665290.24000001</v>
      </c>
      <c r="Y11" s="97">
        <f t="shared" si="6"/>
        <v>126531901.84960002</v>
      </c>
      <c r="Z11" s="98">
        <f t="shared" si="7"/>
        <v>789829448.08960009</v>
      </c>
      <c r="AA11" s="299"/>
      <c r="AB11" s="332"/>
    </row>
    <row r="12" spans="1:28" s="14" customFormat="1" ht="67.5" customHeight="1">
      <c r="A12" s="399"/>
      <c r="B12" s="232" t="s">
        <v>344</v>
      </c>
      <c r="C12" s="45" t="s">
        <v>331</v>
      </c>
      <c r="D12" s="45" t="s">
        <v>277</v>
      </c>
      <c r="E12" s="45" t="s">
        <v>119</v>
      </c>
      <c r="F12" s="232" t="s">
        <v>345</v>
      </c>
      <c r="G12" s="45" t="s">
        <v>113</v>
      </c>
      <c r="H12" s="45" t="s">
        <v>113</v>
      </c>
      <c r="I12" s="31" t="s">
        <v>346</v>
      </c>
      <c r="J12" s="45">
        <v>1</v>
      </c>
      <c r="K12" s="45">
        <v>0</v>
      </c>
      <c r="L12" s="45">
        <v>0</v>
      </c>
      <c r="M12" s="45">
        <v>1</v>
      </c>
      <c r="N12" s="45">
        <v>0</v>
      </c>
      <c r="O12" s="45">
        <v>0</v>
      </c>
      <c r="P12" s="3">
        <v>1</v>
      </c>
      <c r="Q12" s="95">
        <v>0</v>
      </c>
      <c r="R12" s="96">
        <v>0.04</v>
      </c>
      <c r="S12" s="97">
        <f t="shared" si="0"/>
        <v>0</v>
      </c>
      <c r="T12" s="97">
        <f t="shared" si="1"/>
        <v>0</v>
      </c>
      <c r="U12" s="97">
        <f t="shared" si="2"/>
        <v>0</v>
      </c>
      <c r="V12" s="97">
        <f t="shared" si="3"/>
        <v>0</v>
      </c>
      <c r="W12" s="97">
        <f t="shared" si="4"/>
        <v>0</v>
      </c>
      <c r="X12" s="97">
        <f t="shared" si="5"/>
        <v>0</v>
      </c>
      <c r="Y12" s="97">
        <f t="shared" si="6"/>
        <v>0</v>
      </c>
      <c r="Z12" s="98">
        <f t="shared" si="7"/>
        <v>0</v>
      </c>
      <c r="AA12" s="183">
        <f>Z12</f>
        <v>0</v>
      </c>
      <c r="AB12" s="188" t="s">
        <v>15</v>
      </c>
    </row>
    <row r="13" spans="1:28" s="14" customFormat="1" ht="105" customHeight="1" thickBot="1">
      <c r="A13" s="398"/>
      <c r="B13" s="235" t="s">
        <v>347</v>
      </c>
      <c r="C13" s="9" t="s">
        <v>331</v>
      </c>
      <c r="D13" s="9" t="s">
        <v>293</v>
      </c>
      <c r="E13" s="9" t="s">
        <v>174</v>
      </c>
      <c r="F13" s="250" t="s">
        <v>348</v>
      </c>
      <c r="G13" s="9" t="s">
        <v>113</v>
      </c>
      <c r="H13" s="9" t="s">
        <v>113</v>
      </c>
      <c r="I13" s="36">
        <v>5</v>
      </c>
      <c r="J13" s="37">
        <v>9</v>
      </c>
      <c r="K13" s="37">
        <v>3</v>
      </c>
      <c r="L13" s="37">
        <v>12</v>
      </c>
      <c r="M13" s="37">
        <v>7</v>
      </c>
      <c r="N13" s="37">
        <v>15</v>
      </c>
      <c r="O13" s="37">
        <v>11</v>
      </c>
      <c r="P13" s="38">
        <v>18</v>
      </c>
      <c r="Q13" s="130">
        <v>900000000</v>
      </c>
      <c r="R13" s="102">
        <v>0.04</v>
      </c>
      <c r="S13" s="103">
        <f t="shared" si="0"/>
        <v>900000000</v>
      </c>
      <c r="T13" s="103">
        <f t="shared" si="1"/>
        <v>936000000</v>
      </c>
      <c r="U13" s="103">
        <f t="shared" si="2"/>
        <v>973440000</v>
      </c>
      <c r="V13" s="103">
        <f t="shared" si="3"/>
        <v>1012377600</v>
      </c>
      <c r="W13" s="103">
        <f t="shared" si="4"/>
        <v>1052872704</v>
      </c>
      <c r="X13" s="103">
        <f t="shared" si="5"/>
        <v>1094987612.1600001</v>
      </c>
      <c r="Y13" s="103">
        <f t="shared" si="6"/>
        <v>1138787116.6464002</v>
      </c>
      <c r="Z13" s="104">
        <f t="shared" si="7"/>
        <v>7108465032.8064003</v>
      </c>
      <c r="AA13" s="192">
        <f>Z13</f>
        <v>7108465032.8064003</v>
      </c>
      <c r="AB13" s="189" t="s">
        <v>14</v>
      </c>
    </row>
    <row r="14" spans="1:28" s="14" customFormat="1" ht="107.25" customHeight="1" thickBot="1">
      <c r="A14" s="39" t="s">
        <v>349</v>
      </c>
      <c r="B14" s="249" t="s">
        <v>350</v>
      </c>
      <c r="C14" s="18" t="s">
        <v>351</v>
      </c>
      <c r="D14" s="18" t="s">
        <v>124</v>
      </c>
      <c r="E14" s="18" t="s">
        <v>174</v>
      </c>
      <c r="F14" s="249" t="s">
        <v>352</v>
      </c>
      <c r="G14" s="18" t="s">
        <v>113</v>
      </c>
      <c r="H14" s="18" t="s">
        <v>113</v>
      </c>
      <c r="I14" s="40">
        <v>0.3</v>
      </c>
      <c r="J14" s="41">
        <v>1</v>
      </c>
      <c r="K14" s="41">
        <v>1</v>
      </c>
      <c r="L14" s="41">
        <v>1</v>
      </c>
      <c r="M14" s="41">
        <v>1</v>
      </c>
      <c r="N14" s="41">
        <v>1</v>
      </c>
      <c r="O14" s="41">
        <v>1</v>
      </c>
      <c r="P14" s="42">
        <v>1</v>
      </c>
      <c r="Q14" s="141">
        <v>0</v>
      </c>
      <c r="R14" s="135">
        <v>0.04</v>
      </c>
      <c r="S14" s="133">
        <f t="shared" si="0"/>
        <v>0</v>
      </c>
      <c r="T14" s="133">
        <f t="shared" si="1"/>
        <v>0</v>
      </c>
      <c r="U14" s="133">
        <f t="shared" si="2"/>
        <v>0</v>
      </c>
      <c r="V14" s="133">
        <f t="shared" si="3"/>
        <v>0</v>
      </c>
      <c r="W14" s="133">
        <f t="shared" si="4"/>
        <v>0</v>
      </c>
      <c r="X14" s="133">
        <f t="shared" si="5"/>
        <v>0</v>
      </c>
      <c r="Y14" s="133">
        <f t="shared" si="6"/>
        <v>0</v>
      </c>
      <c r="Z14" s="136">
        <f t="shared" si="7"/>
        <v>0</v>
      </c>
      <c r="AA14" s="187">
        <f>Z14</f>
        <v>0</v>
      </c>
      <c r="AB14" s="190" t="s">
        <v>15</v>
      </c>
    </row>
    <row r="15" spans="1:28" ht="18.75" customHeight="1"/>
    <row r="16" spans="1:28" ht="17.25" customHeight="1">
      <c r="A16" s="396"/>
      <c r="B16" s="396"/>
      <c r="C16" s="396"/>
      <c r="D16" s="396"/>
      <c r="E16" s="396"/>
      <c r="F16" s="396"/>
      <c r="G16" s="396"/>
      <c r="H16" s="396"/>
      <c r="I16" s="396"/>
      <c r="J16" s="396"/>
      <c r="K16" s="396"/>
      <c r="L16" s="396"/>
      <c r="M16" s="396"/>
      <c r="N16" s="396"/>
      <c r="O16" s="396"/>
      <c r="P16" s="396"/>
    </row>
    <row r="21" ht="15.75" customHeight="1"/>
  </sheetData>
  <sheetProtection algorithmName="SHA-512" hashValue="31mARcTuqg4gEzLpKmyjcXxTV3HlAupcesVVTc40iPr0DU8xYtkD0K5y4b+LqDDUkObHhnX/kIbW+0cIWHaf+A==" saltValue="M0On3tmzyTNC80h/yKZjgA==" spinCount="100000" sheet="1" objects="1" scenarios="1"/>
  <mergeCells count="31">
    <mergeCell ref="A5:A6"/>
    <mergeCell ref="B5:B6"/>
    <mergeCell ref="C5:C6"/>
    <mergeCell ref="A2:P2"/>
    <mergeCell ref="A1:P1"/>
    <mergeCell ref="B3:B4"/>
    <mergeCell ref="C3:C4"/>
    <mergeCell ref="D3:D4"/>
    <mergeCell ref="AB5:AB6"/>
    <mergeCell ref="AB7:AB11"/>
    <mergeCell ref="AB3:AB4"/>
    <mergeCell ref="G3:G4"/>
    <mergeCell ref="H3:H4"/>
    <mergeCell ref="I3:I4"/>
    <mergeCell ref="J3:P3"/>
    <mergeCell ref="A16:P16"/>
    <mergeCell ref="AA7:AA11"/>
    <mergeCell ref="AA5:AA6"/>
    <mergeCell ref="Q3:Q4"/>
    <mergeCell ref="R3:R4"/>
    <mergeCell ref="S3:Y3"/>
    <mergeCell ref="Z3:Z4"/>
    <mergeCell ref="AA3:AA4"/>
    <mergeCell ref="E3:E4"/>
    <mergeCell ref="F3:F4"/>
    <mergeCell ref="A7:A13"/>
    <mergeCell ref="B7:B11"/>
    <mergeCell ref="C7:C11"/>
    <mergeCell ref="D7:D11"/>
    <mergeCell ref="D5:D6"/>
    <mergeCell ref="A3:A4"/>
  </mergeCells>
  <pageMargins left="0.7" right="0.7" top="0.75" bottom="0.75" header="0.3" footer="0.3"/>
  <pageSetup orientation="portrait" horizontalDpi="1200" verticalDpi="1200" r:id="rId1"/>
  <ignoredErrors>
    <ignoredError sqref="Z14 AA13:AA14 Z5:AA5 Z10 AA7 Z13 T5:Y5 T10:Y13" evalError="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Hoja2!$C$15:$C$17</xm:f>
          </x14:formula1>
          <xm:sqref>G5:G14</xm:sqref>
        </x14:dataValidation>
        <x14:dataValidation type="list" allowBlank="1" showInputMessage="1" showErrorMessage="1" xr:uid="{00000000-0002-0000-0500-000001000000}">
          <x14:formula1>
            <xm:f>Hoja2!$A$1:$A$3</xm:f>
          </x14:formula1>
          <xm:sqref>E5:E14</xm:sqref>
        </x14:dataValidation>
        <x14:dataValidation type="list" allowBlank="1" showInputMessage="1" showErrorMessage="1" xr:uid="{00000000-0002-0000-0500-000002000000}">
          <x14:formula1>
            <xm:f>Hoja2!$E$15:$E$26</xm:f>
          </x14:formula1>
          <xm:sqref>AB5:AB14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5"/>
  <sheetViews>
    <sheetView zoomScale="80" zoomScaleNormal="80" zoomScalePageLayoutView="50" workbookViewId="0">
      <selection sqref="A1:P1"/>
    </sheetView>
  </sheetViews>
  <sheetFormatPr defaultColWidth="11" defaultRowHeight="15.75"/>
  <cols>
    <col min="1" max="1" width="28.125" customWidth="1"/>
    <col min="2" max="2" width="52.875" customWidth="1"/>
    <col min="3" max="3" width="22.125" customWidth="1"/>
    <col min="5" max="5" width="13.5" customWidth="1"/>
    <col min="6" max="6" width="31.125" customWidth="1"/>
    <col min="7" max="7" width="14.875" customWidth="1"/>
    <col min="8" max="8" width="20.125" customWidth="1"/>
    <col min="9" max="9" width="21.625" customWidth="1"/>
    <col min="10" max="16" width="6.375" customWidth="1"/>
    <col min="17" max="17" width="18.125" style="105" customWidth="1"/>
    <col min="18" max="18" width="7.875" customWidth="1"/>
    <col min="19" max="25" width="16.125" customWidth="1"/>
    <col min="26" max="27" width="23.625" customWidth="1"/>
    <col min="28" max="28" width="27.625" customWidth="1"/>
  </cols>
  <sheetData>
    <row r="1" spans="1:29" ht="32.1" customHeight="1">
      <c r="A1" s="347" t="s">
        <v>91</v>
      </c>
      <c r="B1" s="347"/>
      <c r="C1" s="347"/>
      <c r="D1" s="347"/>
      <c r="E1" s="347"/>
      <c r="F1" s="347"/>
      <c r="G1" s="347"/>
      <c r="H1" s="347"/>
      <c r="I1" s="347"/>
      <c r="J1" s="347"/>
      <c r="K1" s="347"/>
      <c r="L1" s="347"/>
      <c r="M1" s="347"/>
      <c r="N1" s="347"/>
      <c r="O1" s="347"/>
      <c r="P1" s="347"/>
    </row>
    <row r="2" spans="1:29" ht="16.5" thickBot="1">
      <c r="A2" s="345"/>
      <c r="B2" s="345"/>
      <c r="C2" s="345"/>
      <c r="D2" s="345"/>
      <c r="E2" s="345"/>
      <c r="F2" s="345"/>
      <c r="G2" s="345"/>
      <c r="H2" s="345"/>
      <c r="I2" s="345"/>
      <c r="J2" s="345"/>
      <c r="K2" s="345"/>
      <c r="L2" s="345"/>
      <c r="M2" s="345"/>
      <c r="N2" s="345"/>
      <c r="O2" s="345"/>
      <c r="P2" s="346"/>
      <c r="R2" s="224">
        <f>R5+1</f>
        <v>1.04</v>
      </c>
    </row>
    <row r="3" spans="1:29" ht="22.5" customHeight="1">
      <c r="A3" s="361" t="s">
        <v>92</v>
      </c>
      <c r="B3" s="324" t="s">
        <v>93</v>
      </c>
      <c r="C3" s="324" t="s">
        <v>94</v>
      </c>
      <c r="D3" s="324" t="s">
        <v>35</v>
      </c>
      <c r="E3" s="326" t="s">
        <v>95</v>
      </c>
      <c r="F3" s="326" t="s">
        <v>96</v>
      </c>
      <c r="G3" s="324" t="s">
        <v>97</v>
      </c>
      <c r="H3" s="324" t="s">
        <v>98</v>
      </c>
      <c r="I3" s="326" t="s">
        <v>99</v>
      </c>
      <c r="J3" s="356" t="s">
        <v>100</v>
      </c>
      <c r="K3" s="356"/>
      <c r="L3" s="356"/>
      <c r="M3" s="356"/>
      <c r="N3" s="356"/>
      <c r="O3" s="356"/>
      <c r="P3" s="356"/>
      <c r="Q3" s="334" t="s">
        <v>101</v>
      </c>
      <c r="R3" s="336" t="s">
        <v>102</v>
      </c>
      <c r="S3" s="338" t="s">
        <v>103</v>
      </c>
      <c r="T3" s="338"/>
      <c r="U3" s="338"/>
      <c r="V3" s="338"/>
      <c r="W3" s="338"/>
      <c r="X3" s="338"/>
      <c r="Y3" s="392"/>
      <c r="Z3" s="339" t="s">
        <v>104</v>
      </c>
      <c r="AA3" s="394" t="s">
        <v>105</v>
      </c>
      <c r="AB3" s="377" t="s">
        <v>2</v>
      </c>
    </row>
    <row r="4" spans="1:29" ht="22.5" customHeight="1" thickBot="1">
      <c r="A4" s="362"/>
      <c r="B4" s="325"/>
      <c r="C4" s="325"/>
      <c r="D4" s="325"/>
      <c r="E4" s="324"/>
      <c r="F4" s="324"/>
      <c r="G4" s="325"/>
      <c r="H4" s="325"/>
      <c r="I4" s="324"/>
      <c r="J4" s="1">
        <v>2021</v>
      </c>
      <c r="K4" s="1">
        <v>2022</v>
      </c>
      <c r="L4" s="1">
        <v>2023</v>
      </c>
      <c r="M4" s="1">
        <v>2024</v>
      </c>
      <c r="N4" s="1">
        <v>2025</v>
      </c>
      <c r="O4" s="1">
        <v>2026</v>
      </c>
      <c r="P4" s="1">
        <v>2027</v>
      </c>
      <c r="Q4" s="390"/>
      <c r="R4" s="391"/>
      <c r="S4" s="90">
        <v>2021</v>
      </c>
      <c r="T4" s="90">
        <v>2022</v>
      </c>
      <c r="U4" s="90">
        <v>2023</v>
      </c>
      <c r="V4" s="90">
        <v>2024</v>
      </c>
      <c r="W4" s="90">
        <v>2025</v>
      </c>
      <c r="X4" s="90">
        <v>2026</v>
      </c>
      <c r="Y4" s="91">
        <v>2027</v>
      </c>
      <c r="Z4" s="393"/>
      <c r="AA4" s="395"/>
      <c r="AB4" s="378"/>
    </row>
    <row r="5" spans="1:29" s="14" customFormat="1" ht="66" customHeight="1">
      <c r="A5" s="397" t="s">
        <v>353</v>
      </c>
      <c r="B5" s="386" t="s">
        <v>354</v>
      </c>
      <c r="C5" s="11" t="s">
        <v>273</v>
      </c>
      <c r="D5" s="400" t="s">
        <v>355</v>
      </c>
      <c r="E5" s="11" t="s">
        <v>119</v>
      </c>
      <c r="F5" s="236" t="s">
        <v>356</v>
      </c>
      <c r="G5" s="11" t="s">
        <v>113</v>
      </c>
      <c r="H5" s="11" t="s">
        <v>113</v>
      </c>
      <c r="I5" s="11">
        <v>0</v>
      </c>
      <c r="J5" s="11">
        <v>2</v>
      </c>
      <c r="K5" s="11">
        <v>3</v>
      </c>
      <c r="L5" s="11">
        <v>3</v>
      </c>
      <c r="M5" s="11">
        <v>4</v>
      </c>
      <c r="N5" s="11">
        <v>4</v>
      </c>
      <c r="O5" s="11">
        <v>5</v>
      </c>
      <c r="P5" s="120">
        <v>5</v>
      </c>
      <c r="Q5" s="92">
        <v>25000000</v>
      </c>
      <c r="R5" s="93">
        <v>0.04</v>
      </c>
      <c r="S5" s="97">
        <f t="shared" ref="S5:S23" si="0">IF(J5&lt;&gt;0,Q5,0)</f>
        <v>25000000</v>
      </c>
      <c r="T5" s="97">
        <f t="shared" ref="T5:T23" si="1">IF(K5&lt;&gt;0,(IF(S5&lt;&gt;0,(S5*$R$2),($Q5*$R$2))),0)</f>
        <v>26000000</v>
      </c>
      <c r="U5" s="97">
        <f t="shared" ref="U5:U23" si="2">IF(L5&lt;&gt;0,(IF(T5&lt;&gt;0,(T5*$R$2),(($Q5*$R$2)*$R$2))),0)</f>
        <v>27040000</v>
      </c>
      <c r="V5" s="97">
        <f t="shared" ref="V5:V23" si="3">IF(M5&lt;&gt;0,(IF(U5&lt;&gt;0,(U5*$R$2),(($Q5*$R$2)*$R$2*$R$2))),0)</f>
        <v>28121600</v>
      </c>
      <c r="W5" s="97">
        <f t="shared" ref="W5:W23" si="4">IF(N5&lt;&gt;0,(IF(V5&lt;&gt;0,(V5*$R$2),(($Q5*$R$2)*$R$2*$R$2*$R$2))),0)</f>
        <v>29246464</v>
      </c>
      <c r="X5" s="97">
        <f t="shared" ref="X5:X23" si="5">IF(O5&lt;&gt;0,(IF(W5&lt;&gt;0,(W5*$R$2),(($Q5*$R$2)*$R$2*$R$2*$R$2*$R$2))),0)</f>
        <v>30416322.560000002</v>
      </c>
      <c r="Y5" s="97">
        <f t="shared" ref="Y5:Y23" si="6">IF(P5&lt;&gt;0,(IF(X5&lt;&gt;0,(X5*$R$2),(($Q5*$R$2)*$R$2*$R$2*$R$2*$R$2*$R$2))),0)</f>
        <v>31632975.462400004</v>
      </c>
      <c r="Z5" s="94">
        <f>SUM(S5:Y5)</f>
        <v>197457362.02240002</v>
      </c>
      <c r="AA5" s="341">
        <f>SUM(Z5:Z8)</f>
        <v>908303865.30304003</v>
      </c>
      <c r="AB5" s="333" t="s">
        <v>6</v>
      </c>
    </row>
    <row r="6" spans="1:29" s="14" customFormat="1" ht="66" customHeight="1">
      <c r="A6" s="399"/>
      <c r="B6" s="381"/>
      <c r="C6" s="45" t="s">
        <v>273</v>
      </c>
      <c r="D6" s="401"/>
      <c r="E6" s="45" t="s">
        <v>119</v>
      </c>
      <c r="F6" s="232" t="s">
        <v>357</v>
      </c>
      <c r="G6" s="45" t="s">
        <v>113</v>
      </c>
      <c r="H6" s="45" t="s">
        <v>113</v>
      </c>
      <c r="I6" s="45">
        <v>0</v>
      </c>
      <c r="J6" s="45">
        <v>1</v>
      </c>
      <c r="K6" s="45">
        <v>2</v>
      </c>
      <c r="L6" s="45">
        <v>2</v>
      </c>
      <c r="M6" s="45">
        <v>3</v>
      </c>
      <c r="N6" s="45">
        <v>3</v>
      </c>
      <c r="O6" s="45">
        <v>4</v>
      </c>
      <c r="P6" s="122">
        <v>4</v>
      </c>
      <c r="Q6" s="95">
        <v>50000000</v>
      </c>
      <c r="R6" s="96">
        <v>0.04</v>
      </c>
      <c r="S6" s="97">
        <f t="shared" si="0"/>
        <v>50000000</v>
      </c>
      <c r="T6" s="97">
        <f t="shared" si="1"/>
        <v>52000000</v>
      </c>
      <c r="U6" s="97">
        <f t="shared" si="2"/>
        <v>54080000</v>
      </c>
      <c r="V6" s="97">
        <f t="shared" si="3"/>
        <v>56243200</v>
      </c>
      <c r="W6" s="97">
        <f t="shared" si="4"/>
        <v>58492928</v>
      </c>
      <c r="X6" s="97">
        <f t="shared" si="5"/>
        <v>60832645.120000005</v>
      </c>
      <c r="Y6" s="97">
        <f t="shared" si="6"/>
        <v>63265950.924800009</v>
      </c>
      <c r="Z6" s="98">
        <f t="shared" ref="Z6:Z14" si="7">SUM(S6:Y6)</f>
        <v>394914724.04480004</v>
      </c>
      <c r="AA6" s="299"/>
      <c r="AB6" s="327"/>
    </row>
    <row r="7" spans="1:29" s="14" customFormat="1" ht="66" customHeight="1">
      <c r="A7" s="399"/>
      <c r="B7" s="381"/>
      <c r="C7" s="45" t="s">
        <v>358</v>
      </c>
      <c r="D7" s="401"/>
      <c r="E7" s="45" t="s">
        <v>119</v>
      </c>
      <c r="F7" s="232" t="s">
        <v>359</v>
      </c>
      <c r="G7" s="45" t="s">
        <v>113</v>
      </c>
      <c r="H7" s="45" t="s">
        <v>113</v>
      </c>
      <c r="I7" s="45">
        <v>0</v>
      </c>
      <c r="J7" s="45">
        <v>1</v>
      </c>
      <c r="K7" s="45">
        <v>2</v>
      </c>
      <c r="L7" s="45">
        <v>3</v>
      </c>
      <c r="M7" s="45">
        <v>4</v>
      </c>
      <c r="N7" s="45">
        <v>5</v>
      </c>
      <c r="O7" s="45">
        <v>6</v>
      </c>
      <c r="P7" s="122">
        <v>7</v>
      </c>
      <c r="Q7" s="95">
        <v>20000000</v>
      </c>
      <c r="R7" s="96">
        <v>0.04</v>
      </c>
      <c r="S7" s="97">
        <f t="shared" si="0"/>
        <v>20000000</v>
      </c>
      <c r="T7" s="97">
        <f t="shared" si="1"/>
        <v>20800000</v>
      </c>
      <c r="U7" s="97">
        <f t="shared" si="2"/>
        <v>21632000</v>
      </c>
      <c r="V7" s="97">
        <f t="shared" si="3"/>
        <v>22497280</v>
      </c>
      <c r="W7" s="97">
        <f t="shared" si="4"/>
        <v>23397171.199999999</v>
      </c>
      <c r="X7" s="97">
        <f t="shared" si="5"/>
        <v>24333058.048</v>
      </c>
      <c r="Y7" s="97">
        <f t="shared" si="6"/>
        <v>25306380.36992</v>
      </c>
      <c r="Z7" s="98">
        <f t="shared" si="7"/>
        <v>157965889.61791998</v>
      </c>
      <c r="AA7" s="299"/>
      <c r="AB7" s="327"/>
    </row>
    <row r="8" spans="1:29" s="14" customFormat="1" ht="66" customHeight="1">
      <c r="A8" s="399"/>
      <c r="B8" s="381"/>
      <c r="C8" s="45" t="s">
        <v>273</v>
      </c>
      <c r="D8" s="402"/>
      <c r="E8" s="45" t="s">
        <v>119</v>
      </c>
      <c r="F8" s="232" t="s">
        <v>360</v>
      </c>
      <c r="G8" s="45" t="s">
        <v>113</v>
      </c>
      <c r="H8" s="45" t="s">
        <v>113</v>
      </c>
      <c r="I8" s="45">
        <v>0</v>
      </c>
      <c r="J8" s="45">
        <v>1</v>
      </c>
      <c r="K8" s="45">
        <v>2</v>
      </c>
      <c r="L8" s="45">
        <v>3</v>
      </c>
      <c r="M8" s="45">
        <v>4</v>
      </c>
      <c r="N8" s="45">
        <v>5</v>
      </c>
      <c r="O8" s="45">
        <v>6</v>
      </c>
      <c r="P8" s="122">
        <v>7</v>
      </c>
      <c r="Q8" s="95">
        <v>20000000</v>
      </c>
      <c r="R8" s="96">
        <v>0.04</v>
      </c>
      <c r="S8" s="97">
        <f t="shared" si="0"/>
        <v>20000000</v>
      </c>
      <c r="T8" s="97">
        <f t="shared" si="1"/>
        <v>20800000</v>
      </c>
      <c r="U8" s="97">
        <f t="shared" si="2"/>
        <v>21632000</v>
      </c>
      <c r="V8" s="97">
        <f t="shared" si="3"/>
        <v>22497280</v>
      </c>
      <c r="W8" s="97">
        <f t="shared" si="4"/>
        <v>23397171.199999999</v>
      </c>
      <c r="X8" s="97">
        <f t="shared" si="5"/>
        <v>24333058.048</v>
      </c>
      <c r="Y8" s="97">
        <f t="shared" si="6"/>
        <v>25306380.36992</v>
      </c>
      <c r="Z8" s="98">
        <f t="shared" si="7"/>
        <v>157965889.61791998</v>
      </c>
      <c r="AA8" s="299"/>
      <c r="AB8" s="332"/>
    </row>
    <row r="9" spans="1:29" s="14" customFormat="1" ht="78" customHeight="1" thickBot="1">
      <c r="A9" s="398"/>
      <c r="B9" s="235" t="s">
        <v>361</v>
      </c>
      <c r="C9" s="9" t="s">
        <v>273</v>
      </c>
      <c r="D9" s="9" t="s">
        <v>362</v>
      </c>
      <c r="E9" s="9" t="s">
        <v>174</v>
      </c>
      <c r="F9" s="235" t="s">
        <v>363</v>
      </c>
      <c r="G9" s="9" t="s">
        <v>113</v>
      </c>
      <c r="H9" s="9" t="s">
        <v>113</v>
      </c>
      <c r="I9" s="9">
        <v>0</v>
      </c>
      <c r="J9" s="9">
        <v>1</v>
      </c>
      <c r="K9" s="9">
        <v>1</v>
      </c>
      <c r="L9" s="9">
        <v>2</v>
      </c>
      <c r="M9" s="9">
        <v>2</v>
      </c>
      <c r="N9" s="9">
        <v>3</v>
      </c>
      <c r="O9" s="9">
        <v>3</v>
      </c>
      <c r="P9" s="116">
        <v>4</v>
      </c>
      <c r="Q9" s="130">
        <v>60000000</v>
      </c>
      <c r="R9" s="102">
        <v>0.04</v>
      </c>
      <c r="S9" s="103">
        <f t="shared" si="0"/>
        <v>60000000</v>
      </c>
      <c r="T9" s="103">
        <f t="shared" si="1"/>
        <v>62400000</v>
      </c>
      <c r="U9" s="103">
        <f t="shared" si="2"/>
        <v>64896000</v>
      </c>
      <c r="V9" s="103">
        <f t="shared" si="3"/>
        <v>67491840</v>
      </c>
      <c r="W9" s="103">
        <f t="shared" si="4"/>
        <v>70191513.600000009</v>
      </c>
      <c r="X9" s="103">
        <f t="shared" si="5"/>
        <v>72999174.144000009</v>
      </c>
      <c r="Y9" s="103">
        <f t="shared" si="6"/>
        <v>75919141.109760016</v>
      </c>
      <c r="Z9" s="104">
        <f t="shared" si="7"/>
        <v>473897668.85376</v>
      </c>
      <c r="AA9" s="192">
        <f t="shared" ref="AA9:AA15" si="8">Z9</f>
        <v>473897668.85376</v>
      </c>
      <c r="AB9" s="189" t="s">
        <v>6</v>
      </c>
    </row>
    <row r="10" spans="1:29" s="14" customFormat="1" ht="82.5" customHeight="1">
      <c r="A10" s="397" t="s">
        <v>364</v>
      </c>
      <c r="B10" s="246" t="s">
        <v>365</v>
      </c>
      <c r="C10" s="11" t="s">
        <v>366</v>
      </c>
      <c r="D10" s="11" t="s">
        <v>367</v>
      </c>
      <c r="E10" s="11" t="s">
        <v>119</v>
      </c>
      <c r="F10" s="246" t="s">
        <v>368</v>
      </c>
      <c r="G10" s="11" t="s">
        <v>113</v>
      </c>
      <c r="H10" s="11" t="s">
        <v>113</v>
      </c>
      <c r="I10" s="11" t="s">
        <v>369</v>
      </c>
      <c r="J10" s="11">
        <v>1</v>
      </c>
      <c r="K10" s="11">
        <v>1</v>
      </c>
      <c r="L10" s="11">
        <v>1</v>
      </c>
      <c r="M10" s="11">
        <v>1</v>
      </c>
      <c r="N10" s="11">
        <v>1</v>
      </c>
      <c r="O10" s="11">
        <v>1</v>
      </c>
      <c r="P10" s="2">
        <v>1</v>
      </c>
      <c r="Q10" s="92">
        <v>0</v>
      </c>
      <c r="R10" s="93">
        <v>0.04</v>
      </c>
      <c r="S10" s="128">
        <f t="shared" si="0"/>
        <v>0</v>
      </c>
      <c r="T10" s="128">
        <f t="shared" si="1"/>
        <v>0</v>
      </c>
      <c r="U10" s="128">
        <f t="shared" si="2"/>
        <v>0</v>
      </c>
      <c r="V10" s="128">
        <f t="shared" si="3"/>
        <v>0</v>
      </c>
      <c r="W10" s="128">
        <f t="shared" si="4"/>
        <v>0</v>
      </c>
      <c r="X10" s="128">
        <f t="shared" si="5"/>
        <v>0</v>
      </c>
      <c r="Y10" s="128">
        <f t="shared" si="6"/>
        <v>0</v>
      </c>
      <c r="Z10" s="94">
        <f t="shared" si="7"/>
        <v>0</v>
      </c>
      <c r="AA10" s="186">
        <f t="shared" si="8"/>
        <v>0</v>
      </c>
      <c r="AB10" s="191" t="s">
        <v>15</v>
      </c>
    </row>
    <row r="11" spans="1:29" s="14" customFormat="1" ht="71.25" customHeight="1" thickBot="1">
      <c r="A11" s="398"/>
      <c r="B11" s="235" t="s">
        <v>370</v>
      </c>
      <c r="C11" s="9" t="s">
        <v>371</v>
      </c>
      <c r="D11" s="9" t="s">
        <v>372</v>
      </c>
      <c r="E11" s="9" t="s">
        <v>119</v>
      </c>
      <c r="F11" s="235" t="s">
        <v>373</v>
      </c>
      <c r="G11" s="9" t="s">
        <v>113</v>
      </c>
      <c r="H11" s="9" t="s">
        <v>140</v>
      </c>
      <c r="I11" s="9" t="s">
        <v>374</v>
      </c>
      <c r="J11" s="10">
        <v>0</v>
      </c>
      <c r="K11" s="10">
        <v>0</v>
      </c>
      <c r="L11" s="27">
        <v>0.25</v>
      </c>
      <c r="M11" s="27">
        <v>0.5</v>
      </c>
      <c r="N11" s="27">
        <v>0.75</v>
      </c>
      <c r="O11" s="27">
        <v>1</v>
      </c>
      <c r="P11" s="88">
        <v>0</v>
      </c>
      <c r="Q11" s="99">
        <v>240000000</v>
      </c>
      <c r="R11" s="100">
        <v>0.04</v>
      </c>
      <c r="S11" s="103">
        <f t="shared" si="0"/>
        <v>0</v>
      </c>
      <c r="T11" s="103">
        <f t="shared" si="1"/>
        <v>0</v>
      </c>
      <c r="U11" s="103">
        <f t="shared" si="2"/>
        <v>259584000</v>
      </c>
      <c r="V11" s="103">
        <f t="shared" si="3"/>
        <v>269967360</v>
      </c>
      <c r="W11" s="103">
        <f t="shared" si="4"/>
        <v>280766054.40000004</v>
      </c>
      <c r="X11" s="103">
        <f t="shared" si="5"/>
        <v>291996696.57600003</v>
      </c>
      <c r="Y11" s="103">
        <f t="shared" si="6"/>
        <v>0</v>
      </c>
      <c r="Z11" s="104">
        <f t="shared" si="7"/>
        <v>1102314110.9760001</v>
      </c>
      <c r="AA11" s="192">
        <f t="shared" si="8"/>
        <v>1102314110.9760001</v>
      </c>
      <c r="AB11" s="189" t="s">
        <v>375</v>
      </c>
      <c r="AC11" s="221"/>
    </row>
    <row r="12" spans="1:29" s="14" customFormat="1" ht="55.5" customHeight="1">
      <c r="A12" s="397" t="s">
        <v>376</v>
      </c>
      <c r="B12" s="246" t="s">
        <v>377</v>
      </c>
      <c r="C12" s="11" t="s">
        <v>273</v>
      </c>
      <c r="D12" s="11" t="s">
        <v>378</v>
      </c>
      <c r="E12" s="11" t="s">
        <v>119</v>
      </c>
      <c r="F12" s="246" t="s">
        <v>379</v>
      </c>
      <c r="G12" s="11" t="s">
        <v>113</v>
      </c>
      <c r="H12" s="11" t="s">
        <v>140</v>
      </c>
      <c r="I12" s="11">
        <v>0</v>
      </c>
      <c r="J12" s="4">
        <v>0</v>
      </c>
      <c r="K12" s="6">
        <v>0.2</v>
      </c>
      <c r="L12" s="6">
        <v>0.4</v>
      </c>
      <c r="M12" s="6">
        <v>0.6</v>
      </c>
      <c r="N12" s="6">
        <v>0.8</v>
      </c>
      <c r="O12" s="6">
        <v>1</v>
      </c>
      <c r="P12" s="137">
        <v>0</v>
      </c>
      <c r="Q12" s="92">
        <v>80000000</v>
      </c>
      <c r="R12" s="93">
        <v>0.04</v>
      </c>
      <c r="S12" s="128">
        <f t="shared" si="0"/>
        <v>0</v>
      </c>
      <c r="T12" s="128">
        <f t="shared" si="1"/>
        <v>83200000</v>
      </c>
      <c r="U12" s="128">
        <f t="shared" si="2"/>
        <v>86528000</v>
      </c>
      <c r="V12" s="128">
        <f t="shared" si="3"/>
        <v>89989120</v>
      </c>
      <c r="W12" s="128">
        <f t="shared" si="4"/>
        <v>93588684.799999997</v>
      </c>
      <c r="X12" s="128">
        <f t="shared" si="5"/>
        <v>97332232.192000002</v>
      </c>
      <c r="Y12" s="128">
        <f t="shared" si="6"/>
        <v>0</v>
      </c>
      <c r="Z12" s="94">
        <f t="shared" si="7"/>
        <v>450638036.99199998</v>
      </c>
      <c r="AA12" s="186">
        <f t="shared" si="8"/>
        <v>450638036.99199998</v>
      </c>
      <c r="AB12" s="191" t="s">
        <v>6</v>
      </c>
    </row>
    <row r="13" spans="1:29" s="14" customFormat="1" ht="87.75" customHeight="1">
      <c r="A13" s="399"/>
      <c r="B13" s="232" t="s">
        <v>380</v>
      </c>
      <c r="C13" s="45" t="s">
        <v>273</v>
      </c>
      <c r="D13" s="45" t="s">
        <v>381</v>
      </c>
      <c r="E13" s="45" t="s">
        <v>174</v>
      </c>
      <c r="F13" s="232" t="s">
        <v>382</v>
      </c>
      <c r="G13" s="45" t="s">
        <v>113</v>
      </c>
      <c r="H13" s="45" t="s">
        <v>113</v>
      </c>
      <c r="I13" s="71" t="s">
        <v>383</v>
      </c>
      <c r="J13" s="7">
        <v>0</v>
      </c>
      <c r="K13" s="7">
        <v>0</v>
      </c>
      <c r="L13" s="45">
        <v>1</v>
      </c>
      <c r="M13" s="7">
        <v>0</v>
      </c>
      <c r="N13" s="7">
        <v>0</v>
      </c>
      <c r="O13" s="45">
        <v>1</v>
      </c>
      <c r="P13" s="138">
        <v>0</v>
      </c>
      <c r="Q13" s="95">
        <v>0</v>
      </c>
      <c r="R13" s="96">
        <v>0.04</v>
      </c>
      <c r="S13" s="97">
        <f t="shared" si="0"/>
        <v>0</v>
      </c>
      <c r="T13" s="97">
        <f t="shared" si="1"/>
        <v>0</v>
      </c>
      <c r="U13" s="97">
        <f t="shared" si="2"/>
        <v>0</v>
      </c>
      <c r="V13" s="97">
        <f t="shared" si="3"/>
        <v>0</v>
      </c>
      <c r="W13" s="97">
        <f t="shared" si="4"/>
        <v>0</v>
      </c>
      <c r="X13" s="97">
        <f t="shared" si="5"/>
        <v>0</v>
      </c>
      <c r="Y13" s="97">
        <f t="shared" si="6"/>
        <v>0</v>
      </c>
      <c r="Z13" s="98">
        <f t="shared" si="7"/>
        <v>0</v>
      </c>
      <c r="AA13" s="183">
        <f t="shared" si="8"/>
        <v>0</v>
      </c>
      <c r="AB13" s="188" t="s">
        <v>15</v>
      </c>
    </row>
    <row r="14" spans="1:29" s="14" customFormat="1" ht="72.75" customHeight="1">
      <c r="A14" s="399"/>
      <c r="B14" s="233" t="s">
        <v>384</v>
      </c>
      <c r="C14" s="71" t="s">
        <v>273</v>
      </c>
      <c r="D14" s="71" t="s">
        <v>381</v>
      </c>
      <c r="E14" s="71" t="s">
        <v>119</v>
      </c>
      <c r="F14" s="233" t="s">
        <v>385</v>
      </c>
      <c r="G14" s="71" t="s">
        <v>112</v>
      </c>
      <c r="H14" s="45" t="s">
        <v>113</v>
      </c>
      <c r="I14" s="71" t="s">
        <v>386</v>
      </c>
      <c r="J14" s="71">
        <v>0</v>
      </c>
      <c r="K14" s="71">
        <v>2</v>
      </c>
      <c r="L14" s="71">
        <v>0</v>
      </c>
      <c r="M14" s="71">
        <v>4</v>
      </c>
      <c r="N14" s="71">
        <v>0</v>
      </c>
      <c r="O14" s="71">
        <v>6</v>
      </c>
      <c r="P14" s="123">
        <v>0</v>
      </c>
      <c r="Q14" s="95">
        <v>0</v>
      </c>
      <c r="R14" s="96">
        <v>0.04</v>
      </c>
      <c r="S14" s="97">
        <f t="shared" si="0"/>
        <v>0</v>
      </c>
      <c r="T14" s="97">
        <f t="shared" si="1"/>
        <v>0</v>
      </c>
      <c r="U14" s="97">
        <f t="shared" si="2"/>
        <v>0</v>
      </c>
      <c r="V14" s="97">
        <f t="shared" si="3"/>
        <v>0</v>
      </c>
      <c r="W14" s="97">
        <f t="shared" si="4"/>
        <v>0</v>
      </c>
      <c r="X14" s="97">
        <f t="shared" si="5"/>
        <v>0</v>
      </c>
      <c r="Y14" s="97">
        <f t="shared" si="6"/>
        <v>0</v>
      </c>
      <c r="Z14" s="98">
        <f t="shared" si="7"/>
        <v>0</v>
      </c>
      <c r="AA14" s="183">
        <f t="shared" si="8"/>
        <v>0</v>
      </c>
      <c r="AB14" s="188" t="s">
        <v>15</v>
      </c>
    </row>
    <row r="15" spans="1:29" s="14" customFormat="1" ht="75.75" customHeight="1" thickBot="1">
      <c r="A15" s="398"/>
      <c r="B15" s="235" t="s">
        <v>387</v>
      </c>
      <c r="C15" s="9" t="s">
        <v>388</v>
      </c>
      <c r="D15" s="9" t="s">
        <v>313</v>
      </c>
      <c r="E15" s="9" t="s">
        <v>174</v>
      </c>
      <c r="F15" s="235" t="s">
        <v>389</v>
      </c>
      <c r="G15" s="9" t="s">
        <v>113</v>
      </c>
      <c r="H15" s="9" t="s">
        <v>140</v>
      </c>
      <c r="I15" s="9">
        <v>0</v>
      </c>
      <c r="J15" s="89">
        <v>5.0000000000000001E-3</v>
      </c>
      <c r="K15" s="89">
        <v>0.01</v>
      </c>
      <c r="L15" s="89">
        <v>1.4999999999999999E-2</v>
      </c>
      <c r="M15" s="89">
        <v>0.02</v>
      </c>
      <c r="N15" s="89">
        <v>2.5000000000000001E-2</v>
      </c>
      <c r="O15" s="89">
        <v>0.03</v>
      </c>
      <c r="P15" s="139">
        <v>3.5000000000000003E-2</v>
      </c>
      <c r="Q15" s="99">
        <v>0</v>
      </c>
      <c r="R15" s="100">
        <v>0.04</v>
      </c>
      <c r="S15" s="103">
        <f t="shared" si="0"/>
        <v>0</v>
      </c>
      <c r="T15" s="103">
        <f t="shared" si="1"/>
        <v>0</v>
      </c>
      <c r="U15" s="103">
        <f t="shared" si="2"/>
        <v>0</v>
      </c>
      <c r="V15" s="103">
        <f t="shared" si="3"/>
        <v>0</v>
      </c>
      <c r="W15" s="103">
        <f t="shared" si="4"/>
        <v>0</v>
      </c>
      <c r="X15" s="103">
        <f t="shared" si="5"/>
        <v>0</v>
      </c>
      <c r="Y15" s="103">
        <f t="shared" si="6"/>
        <v>0</v>
      </c>
      <c r="Z15" s="104">
        <f t="shared" ref="Z15:Z23" si="9">SUM(S15:Y15)</f>
        <v>0</v>
      </c>
      <c r="AA15" s="192">
        <f t="shared" si="8"/>
        <v>0</v>
      </c>
      <c r="AB15" s="189" t="s">
        <v>15</v>
      </c>
    </row>
    <row r="16" spans="1:29" s="14" customFormat="1" ht="57" customHeight="1">
      <c r="A16" s="397" t="s">
        <v>390</v>
      </c>
      <c r="B16" s="386" t="s">
        <v>391</v>
      </c>
      <c r="C16" s="387" t="s">
        <v>392</v>
      </c>
      <c r="D16" s="387" t="s">
        <v>393</v>
      </c>
      <c r="E16" s="11" t="s">
        <v>119</v>
      </c>
      <c r="F16" s="246" t="s">
        <v>394</v>
      </c>
      <c r="G16" s="11" t="s">
        <v>113</v>
      </c>
      <c r="H16" s="11" t="s">
        <v>113</v>
      </c>
      <c r="I16" s="11" t="s">
        <v>395</v>
      </c>
      <c r="J16" s="11">
        <v>0</v>
      </c>
      <c r="K16" s="11">
        <v>1</v>
      </c>
      <c r="L16" s="11">
        <v>0</v>
      </c>
      <c r="M16" s="11">
        <v>0</v>
      </c>
      <c r="N16" s="11">
        <v>0</v>
      </c>
      <c r="O16" s="11">
        <v>0</v>
      </c>
      <c r="P16" s="120">
        <v>0</v>
      </c>
      <c r="Q16" s="92">
        <v>0</v>
      </c>
      <c r="R16" s="93">
        <v>0.04</v>
      </c>
      <c r="S16" s="128">
        <f t="shared" si="0"/>
        <v>0</v>
      </c>
      <c r="T16" s="128">
        <f t="shared" si="1"/>
        <v>0</v>
      </c>
      <c r="U16" s="128">
        <f t="shared" si="2"/>
        <v>0</v>
      </c>
      <c r="V16" s="128">
        <f t="shared" si="3"/>
        <v>0</v>
      </c>
      <c r="W16" s="128">
        <f t="shared" si="4"/>
        <v>0</v>
      </c>
      <c r="X16" s="128">
        <f t="shared" si="5"/>
        <v>0</v>
      </c>
      <c r="Y16" s="128">
        <f t="shared" si="6"/>
        <v>0</v>
      </c>
      <c r="Z16" s="94">
        <f t="shared" si="9"/>
        <v>0</v>
      </c>
      <c r="AA16" s="341">
        <f>SUM(Z16:Z17)</f>
        <v>205040306.83136001</v>
      </c>
      <c r="AB16" s="331" t="s">
        <v>10</v>
      </c>
    </row>
    <row r="17" spans="1:28" s="14" customFormat="1" ht="90" customHeight="1">
      <c r="A17" s="399"/>
      <c r="B17" s="381"/>
      <c r="C17" s="382"/>
      <c r="D17" s="382"/>
      <c r="E17" s="45" t="s">
        <v>119</v>
      </c>
      <c r="F17" s="232" t="s">
        <v>396</v>
      </c>
      <c r="G17" s="45" t="s">
        <v>113</v>
      </c>
      <c r="H17" s="45" t="s">
        <v>113</v>
      </c>
      <c r="I17" s="45" t="s">
        <v>397</v>
      </c>
      <c r="J17" s="45">
        <v>0</v>
      </c>
      <c r="K17" s="45">
        <v>0</v>
      </c>
      <c r="L17" s="45">
        <v>1</v>
      </c>
      <c r="M17" s="45">
        <v>1</v>
      </c>
      <c r="N17" s="45">
        <v>1</v>
      </c>
      <c r="O17" s="45">
        <v>1</v>
      </c>
      <c r="P17" s="122">
        <v>1</v>
      </c>
      <c r="Q17" s="95">
        <v>35000000</v>
      </c>
      <c r="R17" s="96">
        <v>0.04</v>
      </c>
      <c r="S17" s="97">
        <f t="shared" si="0"/>
        <v>0</v>
      </c>
      <c r="T17" s="97">
        <f t="shared" si="1"/>
        <v>0</v>
      </c>
      <c r="U17" s="97">
        <f t="shared" si="2"/>
        <v>37856000</v>
      </c>
      <c r="V17" s="97">
        <f t="shared" si="3"/>
        <v>39370240</v>
      </c>
      <c r="W17" s="97">
        <f t="shared" si="4"/>
        <v>40945049.600000001</v>
      </c>
      <c r="X17" s="97">
        <f t="shared" si="5"/>
        <v>42582851.584000006</v>
      </c>
      <c r="Y17" s="97">
        <f t="shared" si="6"/>
        <v>44286165.647360004</v>
      </c>
      <c r="Z17" s="98">
        <f t="shared" si="9"/>
        <v>205040306.83136001</v>
      </c>
      <c r="AA17" s="299"/>
      <c r="AB17" s="332"/>
    </row>
    <row r="18" spans="1:28" s="14" customFormat="1" ht="72" customHeight="1">
      <c r="A18" s="399"/>
      <c r="B18" s="232" t="s">
        <v>398</v>
      </c>
      <c r="C18" s="45" t="s">
        <v>399</v>
      </c>
      <c r="D18" s="45" t="s">
        <v>378</v>
      </c>
      <c r="E18" s="45" t="s">
        <v>119</v>
      </c>
      <c r="F18" s="232" t="s">
        <v>400</v>
      </c>
      <c r="G18" s="45" t="s">
        <v>113</v>
      </c>
      <c r="H18" s="45" t="s">
        <v>113</v>
      </c>
      <c r="I18" s="45">
        <v>0</v>
      </c>
      <c r="J18" s="45">
        <v>1</v>
      </c>
      <c r="K18" s="45">
        <v>1</v>
      </c>
      <c r="L18" s="45">
        <v>1</v>
      </c>
      <c r="M18" s="45">
        <v>1</v>
      </c>
      <c r="N18" s="45">
        <v>1</v>
      </c>
      <c r="O18" s="45">
        <v>1</v>
      </c>
      <c r="P18" s="122">
        <v>1</v>
      </c>
      <c r="Q18" s="95">
        <v>370000000</v>
      </c>
      <c r="R18" s="96">
        <v>0.04</v>
      </c>
      <c r="S18" s="97">
        <f t="shared" si="0"/>
        <v>370000000</v>
      </c>
      <c r="T18" s="97">
        <f t="shared" si="1"/>
        <v>384800000</v>
      </c>
      <c r="U18" s="97">
        <f t="shared" si="2"/>
        <v>400192000</v>
      </c>
      <c r="V18" s="97">
        <f t="shared" si="3"/>
        <v>416199680</v>
      </c>
      <c r="W18" s="97">
        <f t="shared" si="4"/>
        <v>432847667.19999999</v>
      </c>
      <c r="X18" s="97">
        <f t="shared" si="5"/>
        <v>450161573.88800001</v>
      </c>
      <c r="Y18" s="97">
        <f t="shared" si="6"/>
        <v>468168036.84352005</v>
      </c>
      <c r="Z18" s="98">
        <f t="shared" si="9"/>
        <v>2922368957.9315205</v>
      </c>
      <c r="AA18" s="183">
        <f t="shared" ref="AA18:AA23" si="10">Z18</f>
        <v>2922368957.9315205</v>
      </c>
      <c r="AB18" s="188" t="s">
        <v>10</v>
      </c>
    </row>
    <row r="19" spans="1:28" s="14" customFormat="1" ht="96" customHeight="1">
      <c r="A19" s="399"/>
      <c r="B19" s="232" t="s">
        <v>401</v>
      </c>
      <c r="C19" s="45" t="s">
        <v>402</v>
      </c>
      <c r="D19" s="45" t="s">
        <v>124</v>
      </c>
      <c r="E19" s="45" t="s">
        <v>119</v>
      </c>
      <c r="F19" s="232" t="s">
        <v>403</v>
      </c>
      <c r="G19" s="45" t="s">
        <v>113</v>
      </c>
      <c r="H19" s="45" t="s">
        <v>113</v>
      </c>
      <c r="I19" s="45" t="s">
        <v>404</v>
      </c>
      <c r="J19" s="15">
        <v>0.04</v>
      </c>
      <c r="K19" s="15">
        <v>0.05</v>
      </c>
      <c r="L19" s="15">
        <v>0.05</v>
      </c>
      <c r="M19" s="15">
        <v>0.06</v>
      </c>
      <c r="N19" s="15">
        <v>0.06</v>
      </c>
      <c r="O19" s="15">
        <v>7.0000000000000007E-2</v>
      </c>
      <c r="P19" s="108">
        <v>7.0000000000000007E-2</v>
      </c>
      <c r="Q19" s="95">
        <v>400000000</v>
      </c>
      <c r="R19" s="96">
        <v>0.04</v>
      </c>
      <c r="S19" s="97">
        <f t="shared" si="0"/>
        <v>400000000</v>
      </c>
      <c r="T19" s="97">
        <f t="shared" si="1"/>
        <v>416000000</v>
      </c>
      <c r="U19" s="97">
        <f t="shared" si="2"/>
        <v>432640000</v>
      </c>
      <c r="V19" s="97">
        <f t="shared" si="3"/>
        <v>449945600</v>
      </c>
      <c r="W19" s="97">
        <f t="shared" si="4"/>
        <v>467943424</v>
      </c>
      <c r="X19" s="97">
        <f t="shared" si="5"/>
        <v>486661160.96000004</v>
      </c>
      <c r="Y19" s="97">
        <f t="shared" si="6"/>
        <v>506127607.39840007</v>
      </c>
      <c r="Z19" s="98">
        <f t="shared" si="9"/>
        <v>3159317792.3584003</v>
      </c>
      <c r="AA19" s="183">
        <f t="shared" si="10"/>
        <v>3159317792.3584003</v>
      </c>
      <c r="AB19" s="188" t="s">
        <v>10</v>
      </c>
    </row>
    <row r="20" spans="1:28" s="14" customFormat="1" ht="65.25" customHeight="1" thickBot="1">
      <c r="A20" s="398"/>
      <c r="B20" s="235" t="s">
        <v>405</v>
      </c>
      <c r="C20" s="9" t="s">
        <v>406</v>
      </c>
      <c r="D20" s="9" t="s">
        <v>362</v>
      </c>
      <c r="E20" s="9" t="s">
        <v>174</v>
      </c>
      <c r="F20" s="235" t="s">
        <v>407</v>
      </c>
      <c r="G20" s="9" t="s">
        <v>113</v>
      </c>
      <c r="H20" s="9" t="s">
        <v>113</v>
      </c>
      <c r="I20" s="9" t="s">
        <v>408</v>
      </c>
      <c r="J20" s="9">
        <v>0</v>
      </c>
      <c r="K20" s="27">
        <v>0.15</v>
      </c>
      <c r="L20" s="9">
        <v>0</v>
      </c>
      <c r="M20" s="27">
        <v>0.3</v>
      </c>
      <c r="N20" s="9">
        <v>0</v>
      </c>
      <c r="O20" s="27">
        <v>0.45</v>
      </c>
      <c r="P20" s="116">
        <v>0</v>
      </c>
      <c r="Q20" s="99">
        <v>0</v>
      </c>
      <c r="R20" s="100">
        <v>0.04</v>
      </c>
      <c r="S20" s="103">
        <f t="shared" si="0"/>
        <v>0</v>
      </c>
      <c r="T20" s="103">
        <f t="shared" si="1"/>
        <v>0</v>
      </c>
      <c r="U20" s="103">
        <f t="shared" si="2"/>
        <v>0</v>
      </c>
      <c r="V20" s="103">
        <f t="shared" si="3"/>
        <v>0</v>
      </c>
      <c r="W20" s="103">
        <f t="shared" si="4"/>
        <v>0</v>
      </c>
      <c r="X20" s="103">
        <f t="shared" si="5"/>
        <v>0</v>
      </c>
      <c r="Y20" s="103">
        <f t="shared" si="6"/>
        <v>0</v>
      </c>
      <c r="Z20" s="104">
        <f t="shared" si="9"/>
        <v>0</v>
      </c>
      <c r="AA20" s="192">
        <f t="shared" si="10"/>
        <v>0</v>
      </c>
      <c r="AB20" s="189" t="s">
        <v>15</v>
      </c>
    </row>
    <row r="21" spans="1:28" s="14" customFormat="1" ht="60.75" customHeight="1">
      <c r="A21" s="397" t="s">
        <v>409</v>
      </c>
      <c r="B21" s="246" t="s">
        <v>410</v>
      </c>
      <c r="C21" s="11" t="s">
        <v>273</v>
      </c>
      <c r="D21" s="11" t="s">
        <v>411</v>
      </c>
      <c r="E21" s="11" t="s">
        <v>119</v>
      </c>
      <c r="F21" s="246" t="s">
        <v>412</v>
      </c>
      <c r="G21" s="11" t="s">
        <v>112</v>
      </c>
      <c r="H21" s="11" t="s">
        <v>113</v>
      </c>
      <c r="I21" s="11">
        <v>0</v>
      </c>
      <c r="J21" s="11">
        <v>2</v>
      </c>
      <c r="K21" s="13">
        <v>4</v>
      </c>
      <c r="L21" s="13">
        <v>6</v>
      </c>
      <c r="M21" s="13">
        <v>8</v>
      </c>
      <c r="N21" s="13">
        <v>10</v>
      </c>
      <c r="O21" s="13">
        <v>12</v>
      </c>
      <c r="P21" s="140">
        <v>14</v>
      </c>
      <c r="Q21" s="92">
        <v>0</v>
      </c>
      <c r="R21" s="93">
        <v>0.04</v>
      </c>
      <c r="S21" s="128">
        <f t="shared" si="0"/>
        <v>0</v>
      </c>
      <c r="T21" s="128">
        <f t="shared" si="1"/>
        <v>0</v>
      </c>
      <c r="U21" s="128">
        <f t="shared" si="2"/>
        <v>0</v>
      </c>
      <c r="V21" s="128">
        <f t="shared" si="3"/>
        <v>0</v>
      </c>
      <c r="W21" s="128">
        <f t="shared" si="4"/>
        <v>0</v>
      </c>
      <c r="X21" s="128">
        <f t="shared" si="5"/>
        <v>0</v>
      </c>
      <c r="Y21" s="128">
        <f t="shared" si="6"/>
        <v>0</v>
      </c>
      <c r="Z21" s="94">
        <f t="shared" si="9"/>
        <v>0</v>
      </c>
      <c r="AA21" s="186">
        <f t="shared" si="10"/>
        <v>0</v>
      </c>
      <c r="AB21" s="196" t="s">
        <v>15</v>
      </c>
    </row>
    <row r="22" spans="1:28" s="14" customFormat="1" ht="55.5" customHeight="1">
      <c r="A22" s="399"/>
      <c r="B22" s="232" t="s">
        <v>413</v>
      </c>
      <c r="C22" s="45" t="s">
        <v>273</v>
      </c>
      <c r="D22" s="45" t="s">
        <v>268</v>
      </c>
      <c r="E22" s="45" t="s">
        <v>119</v>
      </c>
      <c r="F22" s="232" t="s">
        <v>414</v>
      </c>
      <c r="G22" s="45" t="s">
        <v>112</v>
      </c>
      <c r="H22" s="45" t="s">
        <v>113</v>
      </c>
      <c r="I22" s="45">
        <v>0</v>
      </c>
      <c r="J22" s="45">
        <v>2</v>
      </c>
      <c r="K22" s="45">
        <v>4</v>
      </c>
      <c r="L22" s="45">
        <v>6</v>
      </c>
      <c r="M22" s="45">
        <v>8</v>
      </c>
      <c r="N22" s="45">
        <v>10</v>
      </c>
      <c r="O22" s="45">
        <v>12</v>
      </c>
      <c r="P22" s="122">
        <v>14</v>
      </c>
      <c r="Q22" s="95">
        <v>30000000</v>
      </c>
      <c r="R22" s="96">
        <v>0.04</v>
      </c>
      <c r="S22" s="97">
        <f t="shared" si="0"/>
        <v>30000000</v>
      </c>
      <c r="T22" s="97">
        <f t="shared" si="1"/>
        <v>31200000</v>
      </c>
      <c r="U22" s="97">
        <f t="shared" si="2"/>
        <v>32448000</v>
      </c>
      <c r="V22" s="97">
        <f t="shared" si="3"/>
        <v>33745920</v>
      </c>
      <c r="W22" s="97">
        <f t="shared" si="4"/>
        <v>35095756.800000004</v>
      </c>
      <c r="X22" s="97">
        <f t="shared" si="5"/>
        <v>36499587.072000004</v>
      </c>
      <c r="Y22" s="97">
        <f t="shared" si="6"/>
        <v>37959570.554880008</v>
      </c>
      <c r="Z22" s="98">
        <f t="shared" si="9"/>
        <v>236948834.42688</v>
      </c>
      <c r="AA22" s="183">
        <f t="shared" si="10"/>
        <v>236948834.42688</v>
      </c>
      <c r="AB22" s="188" t="s">
        <v>6</v>
      </c>
    </row>
    <row r="23" spans="1:28" s="14" customFormat="1" ht="81.75" customHeight="1" thickBot="1">
      <c r="A23" s="405"/>
      <c r="B23" s="247" t="s">
        <v>415</v>
      </c>
      <c r="C23" s="8" t="s">
        <v>273</v>
      </c>
      <c r="D23" s="8" t="s">
        <v>293</v>
      </c>
      <c r="E23" s="8" t="s">
        <v>174</v>
      </c>
      <c r="F23" s="247" t="s">
        <v>416</v>
      </c>
      <c r="G23" s="8" t="s">
        <v>112</v>
      </c>
      <c r="H23" s="8" t="s">
        <v>113</v>
      </c>
      <c r="I23" s="8">
        <v>0</v>
      </c>
      <c r="J23" s="8">
        <v>1</v>
      </c>
      <c r="K23" s="8">
        <v>2</v>
      </c>
      <c r="L23" s="8">
        <v>2</v>
      </c>
      <c r="M23" s="8">
        <v>3</v>
      </c>
      <c r="N23" s="8">
        <v>3</v>
      </c>
      <c r="O23" s="8">
        <v>4</v>
      </c>
      <c r="P23" s="125">
        <v>4</v>
      </c>
      <c r="Q23" s="130">
        <v>0</v>
      </c>
      <c r="R23" s="102">
        <v>0.04</v>
      </c>
      <c r="S23" s="103">
        <f t="shared" si="0"/>
        <v>0</v>
      </c>
      <c r="T23" s="103">
        <f t="shared" si="1"/>
        <v>0</v>
      </c>
      <c r="U23" s="103">
        <f t="shared" si="2"/>
        <v>0</v>
      </c>
      <c r="V23" s="103">
        <f t="shared" si="3"/>
        <v>0</v>
      </c>
      <c r="W23" s="103">
        <f t="shared" si="4"/>
        <v>0</v>
      </c>
      <c r="X23" s="103">
        <f t="shared" si="5"/>
        <v>0</v>
      </c>
      <c r="Y23" s="103">
        <f t="shared" si="6"/>
        <v>0</v>
      </c>
      <c r="Z23" s="104">
        <f t="shared" si="9"/>
        <v>0</v>
      </c>
      <c r="AA23" s="153">
        <f t="shared" si="10"/>
        <v>0</v>
      </c>
      <c r="AB23" s="189" t="s">
        <v>15</v>
      </c>
    </row>
    <row r="25" spans="1:28">
      <c r="A25" s="396"/>
      <c r="B25" s="396"/>
      <c r="C25" s="396"/>
      <c r="D25" s="396"/>
      <c r="E25" s="396"/>
      <c r="F25" s="396"/>
      <c r="G25" s="396"/>
      <c r="H25" s="396"/>
      <c r="I25" s="396"/>
      <c r="J25" s="396"/>
      <c r="K25" s="396"/>
      <c r="L25" s="396"/>
      <c r="M25" s="396"/>
      <c r="N25" s="396"/>
      <c r="O25" s="396"/>
      <c r="P25" s="396"/>
    </row>
  </sheetData>
  <sheetProtection algorithmName="SHA-512" hashValue="Apb/KHFmSupDuJFeLqV9omvf4PGf6/J0q8uWI/vbTbEaBsrqaiIdJnD7Y8ajKtElpq5vSjmKo3xSToEm1wvPpw==" saltValue="+de95CH+rT4W88lghh5+lQ==" spinCount="100000" sheet="1" objects="1" scenarios="1"/>
  <mergeCells count="33">
    <mergeCell ref="AB3:AB4"/>
    <mergeCell ref="AB16:AB17"/>
    <mergeCell ref="AB5:AB8"/>
    <mergeCell ref="A2:P2"/>
    <mergeCell ref="A1:P1"/>
    <mergeCell ref="F3:F4"/>
    <mergeCell ref="G3:G4"/>
    <mergeCell ref="I3:I4"/>
    <mergeCell ref="J3:P3"/>
    <mergeCell ref="A5:A9"/>
    <mergeCell ref="B5:B8"/>
    <mergeCell ref="H3:H4"/>
    <mergeCell ref="D5:D8"/>
    <mergeCell ref="A3:A4"/>
    <mergeCell ref="B3:B4"/>
    <mergeCell ref="C3:C4"/>
    <mergeCell ref="A21:A23"/>
    <mergeCell ref="A25:P25"/>
    <mergeCell ref="A10:A11"/>
    <mergeCell ref="A12:A15"/>
    <mergeCell ref="A16:A20"/>
    <mergeCell ref="B16:B17"/>
    <mergeCell ref="C16:C17"/>
    <mergeCell ref="D16:D17"/>
    <mergeCell ref="D3:D4"/>
    <mergeCell ref="E3:E4"/>
    <mergeCell ref="AA5:AA8"/>
    <mergeCell ref="AA16:AA17"/>
    <mergeCell ref="Q3:Q4"/>
    <mergeCell ref="R3:R4"/>
    <mergeCell ref="S3:Y3"/>
    <mergeCell ref="Z3:Z4"/>
    <mergeCell ref="AA3:AA4"/>
  </mergeCells>
  <pageMargins left="0.7" right="0.7" top="0.75" bottom="0.75" header="0.3" footer="0.3"/>
  <pageSetup orientation="portrait" horizontalDpi="1200" verticalDpi="1200" r:id="rId1"/>
  <ignoredErrors>
    <ignoredError sqref="Z23 Z13 Z14 Z15 Z16 Z17 Z18 Z19 Z20 Z21 Z22"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Hoja2!$A$1:$A$3</xm:f>
          </x14:formula1>
          <xm:sqref>E5:E23</xm:sqref>
        </x14:dataValidation>
        <x14:dataValidation type="list" allowBlank="1" showInputMessage="1" showErrorMessage="1" xr:uid="{00000000-0002-0000-0600-000001000000}">
          <x14:formula1>
            <xm:f>Hoja2!$C$15:$C$17</xm:f>
          </x14:formula1>
          <xm:sqref>G5:G23</xm:sqref>
        </x14:dataValidation>
        <x14:dataValidation type="list" allowBlank="1" showInputMessage="1" showErrorMessage="1" xr:uid="{00000000-0002-0000-0600-000002000000}">
          <x14:formula1>
            <xm:f>Hoja2!$E$15:$E$26</xm:f>
          </x14:formula1>
          <xm:sqref>AB5:AB23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13"/>
  <sheetViews>
    <sheetView zoomScale="80" zoomScaleNormal="80" zoomScalePageLayoutView="60" workbookViewId="0">
      <selection sqref="A1:P1"/>
    </sheetView>
  </sheetViews>
  <sheetFormatPr defaultColWidth="11" defaultRowHeight="15.75"/>
  <cols>
    <col min="1" max="1" width="27.875" customWidth="1"/>
    <col min="2" max="2" width="41" customWidth="1"/>
    <col min="3" max="3" width="18.625" customWidth="1"/>
    <col min="5" max="5" width="13.5" customWidth="1"/>
    <col min="6" max="6" width="32.375" customWidth="1"/>
    <col min="7" max="7" width="14.875" customWidth="1"/>
    <col min="8" max="8" width="19.125" customWidth="1"/>
    <col min="9" max="9" width="8.5" customWidth="1"/>
    <col min="10" max="16" width="6.5" customWidth="1"/>
    <col min="17" max="17" width="18.125" style="105" customWidth="1"/>
    <col min="18" max="18" width="7.875" customWidth="1"/>
    <col min="19" max="25" width="16.125" customWidth="1"/>
    <col min="26" max="27" width="23.625" customWidth="1"/>
    <col min="28" max="28" width="27.625" customWidth="1"/>
  </cols>
  <sheetData>
    <row r="1" spans="1:28" ht="32.1" customHeight="1">
      <c r="A1" s="347" t="s">
        <v>91</v>
      </c>
      <c r="B1" s="347"/>
      <c r="C1" s="347"/>
      <c r="D1" s="347"/>
      <c r="E1" s="347"/>
      <c r="F1" s="347"/>
      <c r="G1" s="347"/>
      <c r="H1" s="347"/>
      <c r="I1" s="347"/>
      <c r="J1" s="347"/>
      <c r="K1" s="347"/>
      <c r="L1" s="347"/>
      <c r="M1" s="347"/>
      <c r="N1" s="347"/>
      <c r="O1" s="347"/>
      <c r="P1" s="347"/>
    </row>
    <row r="2" spans="1:28" ht="16.5" thickBot="1">
      <c r="A2" s="345"/>
      <c r="B2" s="345"/>
      <c r="C2" s="345"/>
      <c r="D2" s="345"/>
      <c r="E2" s="345"/>
      <c r="F2" s="345"/>
      <c r="G2" s="345"/>
      <c r="H2" s="345"/>
      <c r="I2" s="345"/>
      <c r="J2" s="345"/>
      <c r="K2" s="345"/>
      <c r="L2" s="345"/>
      <c r="M2" s="345"/>
      <c r="N2" s="345"/>
      <c r="O2" s="345"/>
      <c r="P2" s="346"/>
      <c r="R2" s="224">
        <f>R5+1</f>
        <v>1.04</v>
      </c>
    </row>
    <row r="3" spans="1:28" ht="22.5" customHeight="1">
      <c r="A3" s="361" t="s">
        <v>92</v>
      </c>
      <c r="B3" s="324" t="s">
        <v>93</v>
      </c>
      <c r="C3" s="324" t="s">
        <v>94</v>
      </c>
      <c r="D3" s="324" t="s">
        <v>35</v>
      </c>
      <c r="E3" s="326" t="s">
        <v>95</v>
      </c>
      <c r="F3" s="326" t="s">
        <v>96</v>
      </c>
      <c r="G3" s="324" t="s">
        <v>97</v>
      </c>
      <c r="H3" s="324" t="s">
        <v>98</v>
      </c>
      <c r="I3" s="326" t="s">
        <v>99</v>
      </c>
      <c r="J3" s="356" t="s">
        <v>100</v>
      </c>
      <c r="K3" s="356"/>
      <c r="L3" s="356"/>
      <c r="M3" s="356"/>
      <c r="N3" s="356"/>
      <c r="O3" s="356"/>
      <c r="P3" s="356"/>
      <c r="Q3" s="334" t="s">
        <v>101</v>
      </c>
      <c r="R3" s="336" t="s">
        <v>102</v>
      </c>
      <c r="S3" s="338" t="s">
        <v>103</v>
      </c>
      <c r="T3" s="338"/>
      <c r="U3" s="338"/>
      <c r="V3" s="338"/>
      <c r="W3" s="338"/>
      <c r="X3" s="338"/>
      <c r="Y3" s="392"/>
      <c r="Z3" s="339" t="s">
        <v>104</v>
      </c>
      <c r="AA3" s="406" t="s">
        <v>105</v>
      </c>
      <c r="AB3" s="377" t="s">
        <v>2</v>
      </c>
    </row>
    <row r="4" spans="1:28" ht="22.5" customHeight="1" thickBot="1">
      <c r="A4" s="362"/>
      <c r="B4" s="325"/>
      <c r="C4" s="325"/>
      <c r="D4" s="325"/>
      <c r="E4" s="324"/>
      <c r="F4" s="324"/>
      <c r="G4" s="325"/>
      <c r="H4" s="325"/>
      <c r="I4" s="324"/>
      <c r="J4" s="1">
        <v>2021</v>
      </c>
      <c r="K4" s="1">
        <v>2022</v>
      </c>
      <c r="L4" s="1">
        <v>2023</v>
      </c>
      <c r="M4" s="1">
        <v>2024</v>
      </c>
      <c r="N4" s="1">
        <v>2025</v>
      </c>
      <c r="O4" s="1">
        <v>2026</v>
      </c>
      <c r="P4" s="1">
        <v>2027</v>
      </c>
      <c r="Q4" s="390"/>
      <c r="R4" s="391"/>
      <c r="S4" s="90">
        <v>2021</v>
      </c>
      <c r="T4" s="90">
        <v>2022</v>
      </c>
      <c r="U4" s="90">
        <v>2023</v>
      </c>
      <c r="V4" s="90">
        <v>2024</v>
      </c>
      <c r="W4" s="90">
        <v>2025</v>
      </c>
      <c r="X4" s="90">
        <v>2026</v>
      </c>
      <c r="Y4" s="91">
        <v>2027</v>
      </c>
      <c r="Z4" s="393"/>
      <c r="AA4" s="407"/>
      <c r="AB4" s="378"/>
    </row>
    <row r="5" spans="1:28" s="14" customFormat="1" ht="80.25" customHeight="1" thickBot="1">
      <c r="A5" s="413" t="s">
        <v>417</v>
      </c>
      <c r="B5" s="409" t="s">
        <v>418</v>
      </c>
      <c r="C5" s="11" t="s">
        <v>419</v>
      </c>
      <c r="D5" s="408" t="s">
        <v>420</v>
      </c>
      <c r="E5" s="11" t="s">
        <v>119</v>
      </c>
      <c r="F5" s="246" t="s">
        <v>421</v>
      </c>
      <c r="G5" s="13" t="s">
        <v>113</v>
      </c>
      <c r="H5" s="13" t="s">
        <v>113</v>
      </c>
      <c r="I5" s="11">
        <v>0</v>
      </c>
      <c r="J5" s="11">
        <v>5</v>
      </c>
      <c r="K5" s="11">
        <v>10</v>
      </c>
      <c r="L5" s="11">
        <v>15</v>
      </c>
      <c r="M5" s="11">
        <v>20</v>
      </c>
      <c r="N5" s="11">
        <v>25</v>
      </c>
      <c r="O5" s="11">
        <v>30</v>
      </c>
      <c r="P5" s="120">
        <v>35</v>
      </c>
      <c r="Q5" s="92">
        <v>0</v>
      </c>
      <c r="R5" s="93">
        <v>0.04</v>
      </c>
      <c r="S5" s="97">
        <f t="shared" ref="S5:S11" si="0">IF(J5&lt;&gt;0,Q5,0)</f>
        <v>0</v>
      </c>
      <c r="T5" s="97">
        <f t="shared" ref="T5:T11" si="1">IF(K5&lt;&gt;0,(IF(S5&lt;&gt;0,(S5*$R$2),($Q5*$R$2))),0)</f>
        <v>0</v>
      </c>
      <c r="U5" s="97">
        <f t="shared" ref="U5:U11" si="2">IF(L5&lt;&gt;0,(IF(T5&lt;&gt;0,(T5*$R$2),(($Q5*$R$2)*$R$2))),0)</f>
        <v>0</v>
      </c>
      <c r="V5" s="97">
        <f t="shared" ref="V5:V11" si="3">IF(M5&lt;&gt;0,(IF(U5&lt;&gt;0,(U5*$R$2),(($Q5*$R$2)*$R$2*$R$2))),0)</f>
        <v>0</v>
      </c>
      <c r="W5" s="97">
        <f t="shared" ref="W5:W11" si="4">IF(N5&lt;&gt;0,(IF(V5&lt;&gt;0,(V5*$R$2),(($Q5*$R$2)*$R$2*$R$2*$R$2))),0)</f>
        <v>0</v>
      </c>
      <c r="X5" s="97">
        <f t="shared" ref="X5:X11" si="5">IF(O5&lt;&gt;0,(IF(W5&lt;&gt;0,(W5*$R$2),(($Q5*$R$2)*$R$2*$R$2*$R$2*$R$2))),0)</f>
        <v>0</v>
      </c>
      <c r="Y5" s="97">
        <f t="shared" ref="Y5:Y11" si="6">IF(P5&lt;&gt;0,(IF(X5&lt;&gt;0,(X5*$R$2),(($Q5*$R$2)*$R$2*$R$2*$R$2*$R$2*$R$2))),0)</f>
        <v>0</v>
      </c>
      <c r="Z5" s="94">
        <f t="shared" ref="Z5:Z11" si="7">SUM(S5:Y5)</f>
        <v>0</v>
      </c>
      <c r="AA5" s="344">
        <f>SUM(Z5:Z6)</f>
        <v>157965889.61791998</v>
      </c>
      <c r="AB5" s="333" t="s">
        <v>422</v>
      </c>
    </row>
    <row r="6" spans="1:28" s="14" customFormat="1" ht="80.25" customHeight="1" thickBot="1">
      <c r="A6" s="414"/>
      <c r="B6" s="410"/>
      <c r="C6" s="9" t="s">
        <v>419</v>
      </c>
      <c r="D6" s="408"/>
      <c r="E6" s="9" t="s">
        <v>119</v>
      </c>
      <c r="F6" s="237" t="s">
        <v>423</v>
      </c>
      <c r="G6" s="72" t="s">
        <v>113</v>
      </c>
      <c r="H6" s="72" t="s">
        <v>113</v>
      </c>
      <c r="I6" s="72">
        <v>0</v>
      </c>
      <c r="J6" s="72">
        <v>1</v>
      </c>
      <c r="K6" s="72">
        <v>2</v>
      </c>
      <c r="L6" s="72">
        <v>3</v>
      </c>
      <c r="M6" s="72">
        <v>4</v>
      </c>
      <c r="N6" s="72">
        <v>5</v>
      </c>
      <c r="O6" s="72">
        <v>6</v>
      </c>
      <c r="P6" s="124">
        <v>7</v>
      </c>
      <c r="Q6" s="99">
        <v>20000000</v>
      </c>
      <c r="R6" s="100">
        <v>0.04</v>
      </c>
      <c r="S6" s="103">
        <f t="shared" si="0"/>
        <v>20000000</v>
      </c>
      <c r="T6" s="103">
        <f t="shared" si="1"/>
        <v>20800000</v>
      </c>
      <c r="U6" s="103">
        <f t="shared" si="2"/>
        <v>21632000</v>
      </c>
      <c r="V6" s="103">
        <f t="shared" si="3"/>
        <v>22497280</v>
      </c>
      <c r="W6" s="103">
        <f t="shared" si="4"/>
        <v>23397171.199999999</v>
      </c>
      <c r="X6" s="103">
        <f t="shared" si="5"/>
        <v>24333058.048</v>
      </c>
      <c r="Y6" s="103">
        <f t="shared" si="6"/>
        <v>25306380.36992</v>
      </c>
      <c r="Z6" s="101">
        <f t="shared" si="7"/>
        <v>157965889.61791998</v>
      </c>
      <c r="AA6" s="301"/>
      <c r="AB6" s="328"/>
    </row>
    <row r="7" spans="1:28" s="14" customFormat="1" ht="80.25" customHeight="1" thickBot="1">
      <c r="A7" s="414"/>
      <c r="B7" s="409" t="s">
        <v>424</v>
      </c>
      <c r="C7" s="11" t="s">
        <v>419</v>
      </c>
      <c r="D7" s="408" t="s">
        <v>420</v>
      </c>
      <c r="E7" s="11" t="s">
        <v>119</v>
      </c>
      <c r="F7" s="236" t="s">
        <v>425</v>
      </c>
      <c r="G7" s="13" t="s">
        <v>113</v>
      </c>
      <c r="H7" s="13" t="s">
        <v>113</v>
      </c>
      <c r="I7" s="13">
        <v>0</v>
      </c>
      <c r="J7" s="13">
        <v>20</v>
      </c>
      <c r="K7" s="13">
        <v>30</v>
      </c>
      <c r="L7" s="13">
        <v>40</v>
      </c>
      <c r="M7" s="13">
        <v>50</v>
      </c>
      <c r="N7" s="13">
        <v>60</v>
      </c>
      <c r="O7" s="13">
        <v>70</v>
      </c>
      <c r="P7" s="140">
        <v>80</v>
      </c>
      <c r="Q7" s="92">
        <v>0</v>
      </c>
      <c r="R7" s="93">
        <v>0.04</v>
      </c>
      <c r="S7" s="128">
        <f t="shared" si="0"/>
        <v>0</v>
      </c>
      <c r="T7" s="128">
        <f t="shared" si="1"/>
        <v>0</v>
      </c>
      <c r="U7" s="128">
        <f t="shared" si="2"/>
        <v>0</v>
      </c>
      <c r="V7" s="128">
        <f t="shared" si="3"/>
        <v>0</v>
      </c>
      <c r="W7" s="128">
        <f t="shared" si="4"/>
        <v>0</v>
      </c>
      <c r="X7" s="128">
        <f t="shared" si="5"/>
        <v>0</v>
      </c>
      <c r="Y7" s="128">
        <f t="shared" si="6"/>
        <v>0</v>
      </c>
      <c r="Z7" s="94">
        <f t="shared" si="7"/>
        <v>0</v>
      </c>
      <c r="AA7" s="344">
        <f>SUM(Z7:Z8)</f>
        <v>0</v>
      </c>
      <c r="AB7" s="331" t="s">
        <v>426</v>
      </c>
    </row>
    <row r="8" spans="1:28" s="14" customFormat="1" ht="80.25" customHeight="1" thickBot="1">
      <c r="A8" s="414"/>
      <c r="B8" s="410"/>
      <c r="C8" s="9" t="s">
        <v>419</v>
      </c>
      <c r="D8" s="408"/>
      <c r="E8" s="9" t="s">
        <v>119</v>
      </c>
      <c r="F8" s="235" t="s">
        <v>427</v>
      </c>
      <c r="G8" s="72" t="s">
        <v>113</v>
      </c>
      <c r="H8" s="72" t="s">
        <v>113</v>
      </c>
      <c r="I8" s="10">
        <v>0</v>
      </c>
      <c r="J8" s="9">
        <v>2</v>
      </c>
      <c r="K8" s="9">
        <v>4</v>
      </c>
      <c r="L8" s="9">
        <v>6</v>
      </c>
      <c r="M8" s="9">
        <v>8</v>
      </c>
      <c r="N8" s="9">
        <v>10</v>
      </c>
      <c r="O8" s="9">
        <v>12</v>
      </c>
      <c r="P8" s="116">
        <v>14</v>
      </c>
      <c r="Q8" s="99">
        <v>0</v>
      </c>
      <c r="R8" s="100">
        <v>0.04</v>
      </c>
      <c r="S8" s="103">
        <f t="shared" si="0"/>
        <v>0</v>
      </c>
      <c r="T8" s="103">
        <f t="shared" si="1"/>
        <v>0</v>
      </c>
      <c r="U8" s="103">
        <f t="shared" si="2"/>
        <v>0</v>
      </c>
      <c r="V8" s="103">
        <f t="shared" si="3"/>
        <v>0</v>
      </c>
      <c r="W8" s="103">
        <f t="shared" si="4"/>
        <v>0</v>
      </c>
      <c r="X8" s="103">
        <f t="shared" si="5"/>
        <v>0</v>
      </c>
      <c r="Y8" s="103">
        <f t="shared" si="6"/>
        <v>0</v>
      </c>
      <c r="Z8" s="101">
        <f t="shared" si="7"/>
        <v>0</v>
      </c>
      <c r="AA8" s="301"/>
      <c r="AB8" s="328"/>
    </row>
    <row r="9" spans="1:28" s="14" customFormat="1" ht="80.25" customHeight="1" thickBot="1">
      <c r="A9" s="414"/>
      <c r="B9" s="409" t="s">
        <v>428</v>
      </c>
      <c r="C9" s="11" t="s">
        <v>419</v>
      </c>
      <c r="D9" s="408" t="s">
        <v>420</v>
      </c>
      <c r="E9" s="11" t="s">
        <v>119</v>
      </c>
      <c r="F9" s="246" t="s">
        <v>429</v>
      </c>
      <c r="G9" s="13" t="s">
        <v>113</v>
      </c>
      <c r="H9" s="13" t="s">
        <v>113</v>
      </c>
      <c r="I9" s="4">
        <v>0</v>
      </c>
      <c r="J9" s="11">
        <v>1</v>
      </c>
      <c r="K9" s="11">
        <v>3</v>
      </c>
      <c r="L9" s="11">
        <v>5</v>
      </c>
      <c r="M9" s="11">
        <v>7</v>
      </c>
      <c r="N9" s="11">
        <v>9</v>
      </c>
      <c r="O9" s="11">
        <v>11</v>
      </c>
      <c r="P9" s="120">
        <v>13</v>
      </c>
      <c r="Q9" s="92">
        <v>20000000</v>
      </c>
      <c r="R9" s="93">
        <v>0.04</v>
      </c>
      <c r="S9" s="128">
        <f t="shared" si="0"/>
        <v>20000000</v>
      </c>
      <c r="T9" s="128">
        <f t="shared" si="1"/>
        <v>20800000</v>
      </c>
      <c r="U9" s="128">
        <f t="shared" si="2"/>
        <v>21632000</v>
      </c>
      <c r="V9" s="128">
        <f t="shared" si="3"/>
        <v>22497280</v>
      </c>
      <c r="W9" s="128">
        <f t="shared" si="4"/>
        <v>23397171.199999999</v>
      </c>
      <c r="X9" s="128">
        <f t="shared" si="5"/>
        <v>24333058.048</v>
      </c>
      <c r="Y9" s="128">
        <f t="shared" si="6"/>
        <v>25306380.36992</v>
      </c>
      <c r="Z9" s="94">
        <f t="shared" si="7"/>
        <v>157965889.61791998</v>
      </c>
      <c r="AA9" s="344">
        <f>SUM(Z9:Z11)</f>
        <v>355423251.64032</v>
      </c>
      <c r="AB9" s="327" t="s">
        <v>422</v>
      </c>
    </row>
    <row r="10" spans="1:28" s="14" customFormat="1" ht="80.25" customHeight="1" thickBot="1">
      <c r="A10" s="414"/>
      <c r="B10" s="411"/>
      <c r="C10" s="45" t="s">
        <v>419</v>
      </c>
      <c r="D10" s="408"/>
      <c r="E10" s="45" t="s">
        <v>119</v>
      </c>
      <c r="F10" s="232" t="s">
        <v>430</v>
      </c>
      <c r="G10" s="71" t="s">
        <v>113</v>
      </c>
      <c r="H10" s="71" t="s">
        <v>113</v>
      </c>
      <c r="I10" s="7">
        <v>0</v>
      </c>
      <c r="J10" s="45">
        <v>10</v>
      </c>
      <c r="K10" s="45">
        <v>15</v>
      </c>
      <c r="L10" s="45">
        <v>20</v>
      </c>
      <c r="M10" s="45">
        <v>25</v>
      </c>
      <c r="N10" s="45">
        <v>30</v>
      </c>
      <c r="O10" s="45">
        <v>35</v>
      </c>
      <c r="P10" s="122">
        <v>40</v>
      </c>
      <c r="Q10" s="95">
        <v>25000000</v>
      </c>
      <c r="R10" s="96">
        <v>0.04</v>
      </c>
      <c r="S10" s="97">
        <f t="shared" si="0"/>
        <v>25000000</v>
      </c>
      <c r="T10" s="97">
        <f t="shared" si="1"/>
        <v>26000000</v>
      </c>
      <c r="U10" s="97">
        <f t="shared" si="2"/>
        <v>27040000</v>
      </c>
      <c r="V10" s="97">
        <f t="shared" si="3"/>
        <v>28121600</v>
      </c>
      <c r="W10" s="97">
        <f t="shared" si="4"/>
        <v>29246464</v>
      </c>
      <c r="X10" s="97">
        <f t="shared" si="5"/>
        <v>30416322.560000002</v>
      </c>
      <c r="Y10" s="97">
        <f t="shared" si="6"/>
        <v>31632975.462400004</v>
      </c>
      <c r="Z10" s="98">
        <f t="shared" si="7"/>
        <v>197457362.02240002</v>
      </c>
      <c r="AA10" s="301"/>
      <c r="AB10" s="327"/>
    </row>
    <row r="11" spans="1:28" s="14" customFormat="1" ht="80.25" customHeight="1" thickBot="1">
      <c r="A11" s="415"/>
      <c r="B11" s="412"/>
      <c r="C11" s="8" t="s">
        <v>419</v>
      </c>
      <c r="D11" s="408"/>
      <c r="E11" s="8" t="s">
        <v>119</v>
      </c>
      <c r="F11" s="247" t="s">
        <v>431</v>
      </c>
      <c r="G11" s="86" t="s">
        <v>113</v>
      </c>
      <c r="H11" s="86" t="s">
        <v>113</v>
      </c>
      <c r="I11" s="8">
        <v>0</v>
      </c>
      <c r="J11" s="8">
        <v>10</v>
      </c>
      <c r="K11" s="8">
        <v>15</v>
      </c>
      <c r="L11" s="8">
        <v>20</v>
      </c>
      <c r="M11" s="8">
        <v>25</v>
      </c>
      <c r="N11" s="8">
        <v>30</v>
      </c>
      <c r="O11" s="8">
        <v>35</v>
      </c>
      <c r="P11" s="125">
        <v>40</v>
      </c>
      <c r="Q11" s="130">
        <v>0</v>
      </c>
      <c r="R11" s="102">
        <v>0.04</v>
      </c>
      <c r="S11" s="103">
        <f t="shared" si="0"/>
        <v>0</v>
      </c>
      <c r="T11" s="103">
        <f t="shared" si="1"/>
        <v>0</v>
      </c>
      <c r="U11" s="103">
        <f t="shared" si="2"/>
        <v>0</v>
      </c>
      <c r="V11" s="103">
        <f t="shared" si="3"/>
        <v>0</v>
      </c>
      <c r="W11" s="103">
        <f t="shared" si="4"/>
        <v>0</v>
      </c>
      <c r="X11" s="103">
        <f t="shared" si="5"/>
        <v>0</v>
      </c>
      <c r="Y11" s="103">
        <f t="shared" si="6"/>
        <v>0</v>
      </c>
      <c r="Z11" s="104">
        <f t="shared" si="7"/>
        <v>0</v>
      </c>
      <c r="AA11" s="374"/>
      <c r="AB11" s="328"/>
    </row>
    <row r="12" spans="1:28" ht="20.100000000000001" customHeight="1"/>
    <row r="13" spans="1:28" ht="20.25" customHeight="1">
      <c r="A13" s="396"/>
      <c r="B13" s="396"/>
      <c r="C13" s="396"/>
      <c r="D13" s="396"/>
      <c r="E13" s="396"/>
      <c r="F13" s="396"/>
      <c r="G13" s="396"/>
      <c r="H13" s="396"/>
      <c r="I13" s="396"/>
      <c r="J13" s="396"/>
      <c r="K13" s="396"/>
      <c r="L13" s="396"/>
      <c r="M13" s="396"/>
      <c r="N13" s="396"/>
      <c r="O13" s="396"/>
      <c r="P13" s="396"/>
    </row>
  </sheetData>
  <sheetProtection algorithmName="SHA-512" hashValue="ItP/29abmJKD67uLcNKAj7NcgvgfFnicaTfOmX6nXShkZB60anbxkuJ6MQqxRE1jiEbnTkDsoZLn/tmxf6T7Dw==" saltValue="HJ0AaP9a6RlDjyfuWIvdXw==" spinCount="100000" sheet="1" objects="1" scenarios="1"/>
  <mergeCells count="32">
    <mergeCell ref="D7:D8"/>
    <mergeCell ref="D9:D11"/>
    <mergeCell ref="A2:P2"/>
    <mergeCell ref="A13:P13"/>
    <mergeCell ref="B5:B6"/>
    <mergeCell ref="B7:B8"/>
    <mergeCell ref="B9:B11"/>
    <mergeCell ref="F3:F4"/>
    <mergeCell ref="G3:G4"/>
    <mergeCell ref="I3:I4"/>
    <mergeCell ref="J3:P3"/>
    <mergeCell ref="A5:A11"/>
    <mergeCell ref="H3:H4"/>
    <mergeCell ref="A3:A4"/>
    <mergeCell ref="B3:B4"/>
    <mergeCell ref="C3:C4"/>
    <mergeCell ref="D3:D4"/>
    <mergeCell ref="E3:E4"/>
    <mergeCell ref="A1:P1"/>
    <mergeCell ref="D5:D6"/>
    <mergeCell ref="Q3:Q4"/>
    <mergeCell ref="R3:R4"/>
    <mergeCell ref="S3:Y3"/>
    <mergeCell ref="Z3:Z4"/>
    <mergeCell ref="AA3:AA4"/>
    <mergeCell ref="AB9:AB11"/>
    <mergeCell ref="AB3:AB4"/>
    <mergeCell ref="AB5:AB6"/>
    <mergeCell ref="AB7:AB8"/>
    <mergeCell ref="AA5:AA6"/>
    <mergeCell ref="AA7:AA8"/>
    <mergeCell ref="AA9:AA11"/>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Hoja2!$C$15:$C$17</xm:f>
          </x14:formula1>
          <xm:sqref>G5:G11</xm:sqref>
        </x14:dataValidation>
        <x14:dataValidation type="list" allowBlank="1" showInputMessage="1" showErrorMessage="1" xr:uid="{00000000-0002-0000-0700-000001000000}">
          <x14:formula1>
            <xm:f>Hoja2!$A$1:$A$3</xm:f>
          </x14:formula1>
          <xm:sqref>E5:E11</xm:sqref>
        </x14:dataValidation>
        <x14:dataValidation type="list" allowBlank="1" showInputMessage="1" showErrorMessage="1" xr:uid="{00000000-0002-0000-0700-000002000000}">
          <x14:formula1>
            <xm:f>Hoja2!$E$15:$E$26</xm:f>
          </x14:formula1>
          <xm:sqref>AB5:AB11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30"/>
  <sheetViews>
    <sheetView zoomScale="80" zoomScaleNormal="80" zoomScalePageLayoutView="50" workbookViewId="0">
      <selection sqref="A1:P1"/>
    </sheetView>
  </sheetViews>
  <sheetFormatPr defaultColWidth="11" defaultRowHeight="15.75"/>
  <cols>
    <col min="1" max="1" width="28.5" customWidth="1"/>
    <col min="2" max="2" width="46.625" customWidth="1"/>
    <col min="3" max="3" width="22.125" customWidth="1"/>
    <col min="5" max="5" width="13.5" customWidth="1"/>
    <col min="6" max="6" width="31.125" customWidth="1"/>
    <col min="7" max="7" width="16.5" customWidth="1"/>
    <col min="8" max="8" width="19" customWidth="1"/>
    <col min="9" max="9" width="19.5" customWidth="1"/>
    <col min="10" max="16" width="6.375" customWidth="1"/>
    <col min="17" max="17" width="18.125" style="105" customWidth="1"/>
    <col min="18" max="18" width="7.875" customWidth="1"/>
    <col min="19" max="25" width="16.125" customWidth="1"/>
    <col min="26" max="27" width="23.625" customWidth="1"/>
    <col min="28" max="28" width="27.625" customWidth="1"/>
  </cols>
  <sheetData>
    <row r="1" spans="1:28" ht="32.1" customHeight="1">
      <c r="A1" s="347" t="s">
        <v>91</v>
      </c>
      <c r="B1" s="347"/>
      <c r="C1" s="347"/>
      <c r="D1" s="347"/>
      <c r="E1" s="347"/>
      <c r="F1" s="347"/>
      <c r="G1" s="347"/>
      <c r="H1" s="347"/>
      <c r="I1" s="347"/>
      <c r="J1" s="347"/>
      <c r="K1" s="347"/>
      <c r="L1" s="347"/>
      <c r="M1" s="347"/>
      <c r="N1" s="347"/>
      <c r="O1" s="347"/>
      <c r="P1" s="347"/>
    </row>
    <row r="2" spans="1:28" ht="15.75" customHeight="1" thickBot="1">
      <c r="A2" s="345"/>
      <c r="B2" s="345"/>
      <c r="C2" s="345"/>
      <c r="D2" s="345"/>
      <c r="E2" s="345"/>
      <c r="F2" s="345"/>
      <c r="G2" s="345"/>
      <c r="H2" s="345"/>
      <c r="I2" s="345"/>
      <c r="J2" s="345"/>
      <c r="K2" s="345"/>
      <c r="L2" s="345"/>
      <c r="M2" s="345"/>
      <c r="N2" s="345"/>
      <c r="O2" s="345"/>
      <c r="P2" s="346"/>
      <c r="R2" s="224">
        <f>R5+1</f>
        <v>1.04</v>
      </c>
    </row>
    <row r="3" spans="1:28" ht="22.5" customHeight="1">
      <c r="A3" s="361" t="s">
        <v>92</v>
      </c>
      <c r="B3" s="324" t="s">
        <v>93</v>
      </c>
      <c r="C3" s="324" t="s">
        <v>94</v>
      </c>
      <c r="D3" s="324" t="s">
        <v>35</v>
      </c>
      <c r="E3" s="326" t="s">
        <v>95</v>
      </c>
      <c r="F3" s="326" t="s">
        <v>96</v>
      </c>
      <c r="G3" s="324" t="s">
        <v>97</v>
      </c>
      <c r="H3" s="324" t="s">
        <v>98</v>
      </c>
      <c r="I3" s="326" t="s">
        <v>99</v>
      </c>
      <c r="J3" s="356" t="s">
        <v>100</v>
      </c>
      <c r="K3" s="356"/>
      <c r="L3" s="356"/>
      <c r="M3" s="356"/>
      <c r="N3" s="356"/>
      <c r="O3" s="356"/>
      <c r="P3" s="356"/>
      <c r="Q3" s="334" t="s">
        <v>101</v>
      </c>
      <c r="R3" s="336" t="s">
        <v>102</v>
      </c>
      <c r="S3" s="338" t="s">
        <v>103</v>
      </c>
      <c r="T3" s="338"/>
      <c r="U3" s="338"/>
      <c r="V3" s="338"/>
      <c r="W3" s="338"/>
      <c r="X3" s="338"/>
      <c r="Y3" s="392"/>
      <c r="Z3" s="339" t="s">
        <v>104</v>
      </c>
      <c r="AA3" s="394" t="s">
        <v>105</v>
      </c>
      <c r="AB3" s="377" t="s">
        <v>2</v>
      </c>
    </row>
    <row r="4" spans="1:28" ht="22.5" customHeight="1" thickBot="1">
      <c r="A4" s="362"/>
      <c r="B4" s="325"/>
      <c r="C4" s="325"/>
      <c r="D4" s="325"/>
      <c r="E4" s="324"/>
      <c r="F4" s="324"/>
      <c r="G4" s="325"/>
      <c r="H4" s="325"/>
      <c r="I4" s="324"/>
      <c r="J4" s="1">
        <v>2021</v>
      </c>
      <c r="K4" s="1">
        <v>2022</v>
      </c>
      <c r="L4" s="1">
        <v>2023</v>
      </c>
      <c r="M4" s="1">
        <v>2024</v>
      </c>
      <c r="N4" s="1">
        <v>2025</v>
      </c>
      <c r="O4" s="1">
        <v>2026</v>
      </c>
      <c r="P4" s="1">
        <v>2027</v>
      </c>
      <c r="Q4" s="390"/>
      <c r="R4" s="391"/>
      <c r="S4" s="90">
        <v>2021</v>
      </c>
      <c r="T4" s="90">
        <v>2022</v>
      </c>
      <c r="U4" s="90">
        <v>2023</v>
      </c>
      <c r="V4" s="90">
        <v>2024</v>
      </c>
      <c r="W4" s="90">
        <v>2025</v>
      </c>
      <c r="X4" s="90">
        <v>2026</v>
      </c>
      <c r="Y4" s="91">
        <v>2027</v>
      </c>
      <c r="Z4" s="393"/>
      <c r="AA4" s="395"/>
      <c r="AB4" s="378"/>
    </row>
    <row r="5" spans="1:28" s="14" customFormat="1" ht="121.5" customHeight="1">
      <c r="A5" s="397" t="s">
        <v>432</v>
      </c>
      <c r="B5" s="386" t="s">
        <v>433</v>
      </c>
      <c r="C5" s="11" t="s">
        <v>434</v>
      </c>
      <c r="D5" s="387" t="s">
        <v>362</v>
      </c>
      <c r="E5" s="11" t="s">
        <v>119</v>
      </c>
      <c r="F5" s="246" t="s">
        <v>435</v>
      </c>
      <c r="G5" s="11" t="s">
        <v>113</v>
      </c>
      <c r="H5" s="11" t="s">
        <v>113</v>
      </c>
      <c r="I5" s="11" t="s">
        <v>436</v>
      </c>
      <c r="J5" s="11">
        <v>30</v>
      </c>
      <c r="K5" s="11">
        <v>31</v>
      </c>
      <c r="L5" s="11">
        <v>32</v>
      </c>
      <c r="M5" s="11">
        <v>33</v>
      </c>
      <c r="N5" s="11">
        <v>35</v>
      </c>
      <c r="O5" s="11">
        <v>37</v>
      </c>
      <c r="P5" s="2">
        <v>38</v>
      </c>
      <c r="Q5" s="92">
        <v>0</v>
      </c>
      <c r="R5" s="93">
        <v>0.04</v>
      </c>
      <c r="S5" s="97">
        <f t="shared" ref="S5:S28" si="0">IF(J5&lt;&gt;0,Q5,0)</f>
        <v>0</v>
      </c>
      <c r="T5" s="97">
        <f t="shared" ref="T5:T22" si="1">IF(K5&lt;&gt;0,(IF(S5&lt;&gt;0,(S5*$R$2),($Q5*$R$2))),0)</f>
        <v>0</v>
      </c>
      <c r="U5" s="97">
        <f t="shared" ref="U5:U22" si="2">IF(L5&lt;&gt;0,(IF(T5&lt;&gt;0,(T5*$R$2),(($Q5*$R$2)*$R$2))),0)</f>
        <v>0</v>
      </c>
      <c r="V5" s="97">
        <f t="shared" ref="V5:V22" si="3">IF(M5&lt;&gt;0,(IF(U5&lt;&gt;0,(U5*$R$2),(($Q5*$R$2)*$R$2*$R$2))),0)</f>
        <v>0</v>
      </c>
      <c r="W5" s="97">
        <f t="shared" ref="W5:W22" si="4">IF(N5&lt;&gt;0,(IF(V5&lt;&gt;0,(V5*$R$2),(($Q5*$R$2)*$R$2*$R$2*$R$2))),0)</f>
        <v>0</v>
      </c>
      <c r="X5" s="97">
        <f t="shared" ref="X5:X22" si="5">IF(O5&lt;&gt;0,(IF(W5&lt;&gt;0,(W5*$R$2),(($Q5*$R$2)*$R$2*$R$2*$R$2*$R$2))),0)</f>
        <v>0</v>
      </c>
      <c r="Y5" s="97">
        <f t="shared" ref="Y5:Y22" si="6">IF(P5&lt;&gt;0,(IF(X5&lt;&gt;0,(X5*$R$2),(($Q5*$R$2)*$R$2*$R$2*$R$2*$R$2*$R$2))),0)</f>
        <v>0</v>
      </c>
      <c r="Z5" s="94">
        <f>SUM(S5:Y5)</f>
        <v>0</v>
      </c>
      <c r="AA5" s="344">
        <f>SUM(Z5:Z9)</f>
        <v>0</v>
      </c>
      <c r="AB5" s="333" t="s">
        <v>15</v>
      </c>
    </row>
    <row r="6" spans="1:28" s="14" customFormat="1" ht="117.95" customHeight="1">
      <c r="A6" s="399"/>
      <c r="B6" s="381"/>
      <c r="C6" s="45" t="s">
        <v>434</v>
      </c>
      <c r="D6" s="382"/>
      <c r="E6" s="45" t="s">
        <v>119</v>
      </c>
      <c r="F6" s="232" t="s">
        <v>437</v>
      </c>
      <c r="G6" s="45" t="s">
        <v>113</v>
      </c>
      <c r="H6" s="45" t="s">
        <v>113</v>
      </c>
      <c r="I6" s="45" t="s">
        <v>438</v>
      </c>
      <c r="J6" s="45">
        <v>21</v>
      </c>
      <c r="K6" s="45">
        <v>22</v>
      </c>
      <c r="L6" s="45">
        <v>23</v>
      </c>
      <c r="M6" s="45">
        <v>24</v>
      </c>
      <c r="N6" s="45">
        <v>25</v>
      </c>
      <c r="O6" s="45">
        <v>26</v>
      </c>
      <c r="P6" s="3">
        <v>27</v>
      </c>
      <c r="Q6" s="95">
        <v>0</v>
      </c>
      <c r="R6" s="96">
        <v>0.04</v>
      </c>
      <c r="S6" s="97">
        <f t="shared" si="0"/>
        <v>0</v>
      </c>
      <c r="T6" s="97">
        <f t="shared" si="1"/>
        <v>0</v>
      </c>
      <c r="U6" s="97">
        <f t="shared" si="2"/>
        <v>0</v>
      </c>
      <c r="V6" s="97">
        <f t="shared" si="3"/>
        <v>0</v>
      </c>
      <c r="W6" s="97">
        <f t="shared" si="4"/>
        <v>0</v>
      </c>
      <c r="X6" s="97">
        <f t="shared" si="5"/>
        <v>0</v>
      </c>
      <c r="Y6" s="97">
        <f t="shared" si="6"/>
        <v>0</v>
      </c>
      <c r="Z6" s="98">
        <f t="shared" ref="Z6:Z23" si="7">SUM(S6:Y6)</f>
        <v>0</v>
      </c>
      <c r="AA6" s="301"/>
      <c r="AB6" s="327"/>
    </row>
    <row r="7" spans="1:28" s="14" customFormat="1" ht="111.75" customHeight="1">
      <c r="A7" s="399"/>
      <c r="B7" s="381"/>
      <c r="C7" s="45" t="s">
        <v>439</v>
      </c>
      <c r="D7" s="382"/>
      <c r="E7" s="45" t="s">
        <v>119</v>
      </c>
      <c r="F7" s="232" t="s">
        <v>440</v>
      </c>
      <c r="G7" s="45" t="s">
        <v>113</v>
      </c>
      <c r="H7" s="45" t="s">
        <v>113</v>
      </c>
      <c r="I7" s="45">
        <v>11</v>
      </c>
      <c r="J7" s="45">
        <v>13</v>
      </c>
      <c r="K7" s="45">
        <v>14</v>
      </c>
      <c r="L7" s="45">
        <v>15</v>
      </c>
      <c r="M7" s="45">
        <v>16</v>
      </c>
      <c r="N7" s="45">
        <v>17</v>
      </c>
      <c r="O7" s="45">
        <v>18</v>
      </c>
      <c r="P7" s="3">
        <v>20</v>
      </c>
      <c r="Q7" s="95">
        <v>0</v>
      </c>
      <c r="R7" s="96">
        <v>0.04</v>
      </c>
      <c r="S7" s="97">
        <f t="shared" si="0"/>
        <v>0</v>
      </c>
      <c r="T7" s="97">
        <f t="shared" si="1"/>
        <v>0</v>
      </c>
      <c r="U7" s="97">
        <f t="shared" si="2"/>
        <v>0</v>
      </c>
      <c r="V7" s="97">
        <f t="shared" si="3"/>
        <v>0</v>
      </c>
      <c r="W7" s="97">
        <f t="shared" si="4"/>
        <v>0</v>
      </c>
      <c r="X7" s="97">
        <f t="shared" si="5"/>
        <v>0</v>
      </c>
      <c r="Y7" s="97">
        <f t="shared" si="6"/>
        <v>0</v>
      </c>
      <c r="Z7" s="98">
        <f t="shared" si="7"/>
        <v>0</v>
      </c>
      <c r="AA7" s="301"/>
      <c r="AB7" s="327"/>
    </row>
    <row r="8" spans="1:28" s="14" customFormat="1" ht="90" customHeight="1">
      <c r="A8" s="399"/>
      <c r="B8" s="381"/>
      <c r="C8" s="45" t="s">
        <v>441</v>
      </c>
      <c r="D8" s="382"/>
      <c r="E8" s="45" t="s">
        <v>119</v>
      </c>
      <c r="F8" s="232" t="s">
        <v>442</v>
      </c>
      <c r="G8" s="45" t="s">
        <v>113</v>
      </c>
      <c r="H8" s="45" t="s">
        <v>113</v>
      </c>
      <c r="I8" s="45" t="s">
        <v>443</v>
      </c>
      <c r="J8" s="45">
        <v>40</v>
      </c>
      <c r="K8" s="45">
        <v>50</v>
      </c>
      <c r="L8" s="45">
        <v>60</v>
      </c>
      <c r="M8" s="45">
        <v>70</v>
      </c>
      <c r="N8" s="45">
        <v>80</v>
      </c>
      <c r="O8" s="45">
        <v>90</v>
      </c>
      <c r="P8" s="3">
        <v>100</v>
      </c>
      <c r="Q8" s="95">
        <v>0</v>
      </c>
      <c r="R8" s="96">
        <v>0.04</v>
      </c>
      <c r="S8" s="97">
        <f t="shared" si="0"/>
        <v>0</v>
      </c>
      <c r="T8" s="97">
        <f t="shared" si="1"/>
        <v>0</v>
      </c>
      <c r="U8" s="97">
        <f t="shared" si="2"/>
        <v>0</v>
      </c>
      <c r="V8" s="97">
        <f t="shared" si="3"/>
        <v>0</v>
      </c>
      <c r="W8" s="97">
        <f t="shared" si="4"/>
        <v>0</v>
      </c>
      <c r="X8" s="97">
        <f t="shared" si="5"/>
        <v>0</v>
      </c>
      <c r="Y8" s="97">
        <f t="shared" si="6"/>
        <v>0</v>
      </c>
      <c r="Z8" s="98">
        <f t="shared" si="7"/>
        <v>0</v>
      </c>
      <c r="AA8" s="301"/>
      <c r="AB8" s="327"/>
    </row>
    <row r="9" spans="1:28" s="14" customFormat="1" ht="82.5" customHeight="1" thickBot="1">
      <c r="A9" s="398"/>
      <c r="B9" s="383"/>
      <c r="C9" s="9" t="s">
        <v>444</v>
      </c>
      <c r="D9" s="379"/>
      <c r="E9" s="9" t="s">
        <v>119</v>
      </c>
      <c r="F9" s="235" t="s">
        <v>445</v>
      </c>
      <c r="G9" s="9" t="s">
        <v>112</v>
      </c>
      <c r="H9" s="9" t="s">
        <v>113</v>
      </c>
      <c r="I9" s="9" t="s">
        <v>446</v>
      </c>
      <c r="J9" s="9">
        <v>20</v>
      </c>
      <c r="K9" s="9">
        <v>23</v>
      </c>
      <c r="L9" s="9">
        <v>25</v>
      </c>
      <c r="M9" s="9">
        <v>25</v>
      </c>
      <c r="N9" s="9">
        <v>25</v>
      </c>
      <c r="O9" s="9">
        <v>25</v>
      </c>
      <c r="P9" s="12">
        <v>25</v>
      </c>
      <c r="Q9" s="99">
        <v>0</v>
      </c>
      <c r="R9" s="100">
        <v>0.04</v>
      </c>
      <c r="S9" s="103">
        <f t="shared" si="0"/>
        <v>0</v>
      </c>
      <c r="T9" s="103">
        <f t="shared" si="1"/>
        <v>0</v>
      </c>
      <c r="U9" s="103">
        <f t="shared" si="2"/>
        <v>0</v>
      </c>
      <c r="V9" s="103">
        <f t="shared" si="3"/>
        <v>0</v>
      </c>
      <c r="W9" s="103">
        <f t="shared" si="4"/>
        <v>0</v>
      </c>
      <c r="X9" s="103">
        <f t="shared" si="5"/>
        <v>0</v>
      </c>
      <c r="Y9" s="103">
        <f t="shared" si="6"/>
        <v>0</v>
      </c>
      <c r="Z9" s="101">
        <f t="shared" si="7"/>
        <v>0</v>
      </c>
      <c r="AA9" s="301"/>
      <c r="AB9" s="328"/>
    </row>
    <row r="10" spans="1:28" s="14" customFormat="1" ht="84.75" customHeight="1">
      <c r="A10" s="397" t="s">
        <v>447</v>
      </c>
      <c r="B10" s="386" t="s">
        <v>448</v>
      </c>
      <c r="C10" s="11" t="s">
        <v>449</v>
      </c>
      <c r="D10" s="387" t="s">
        <v>274</v>
      </c>
      <c r="E10" s="11" t="s">
        <v>110</v>
      </c>
      <c r="F10" s="251" t="s">
        <v>450</v>
      </c>
      <c r="G10" s="11" t="s">
        <v>113</v>
      </c>
      <c r="H10" s="11" t="s">
        <v>113</v>
      </c>
      <c r="I10" s="11" t="s">
        <v>451</v>
      </c>
      <c r="J10" s="6">
        <v>0.5</v>
      </c>
      <c r="K10" s="6">
        <v>1</v>
      </c>
      <c r="L10" s="6">
        <v>1</v>
      </c>
      <c r="M10" s="6">
        <v>1</v>
      </c>
      <c r="N10" s="6">
        <v>1</v>
      </c>
      <c r="O10" s="6">
        <v>1</v>
      </c>
      <c r="P10" s="106">
        <v>1</v>
      </c>
      <c r="Q10" s="92">
        <v>20000000</v>
      </c>
      <c r="R10" s="93">
        <v>0.04</v>
      </c>
      <c r="S10" s="128">
        <f t="shared" si="0"/>
        <v>20000000</v>
      </c>
      <c r="T10" s="128">
        <f t="shared" si="1"/>
        <v>20800000</v>
      </c>
      <c r="U10" s="128">
        <f t="shared" si="2"/>
        <v>21632000</v>
      </c>
      <c r="V10" s="128">
        <f t="shared" si="3"/>
        <v>22497280</v>
      </c>
      <c r="W10" s="128">
        <f t="shared" si="4"/>
        <v>23397171.199999999</v>
      </c>
      <c r="X10" s="128">
        <f t="shared" si="5"/>
        <v>24333058.048</v>
      </c>
      <c r="Y10" s="128">
        <f t="shared" si="6"/>
        <v>25306380.36992</v>
      </c>
      <c r="Z10" s="94">
        <f t="shared" si="7"/>
        <v>157965889.61791998</v>
      </c>
      <c r="AA10" s="341">
        <f>SUM(Z10:Z20)</f>
        <v>236948834.42687997</v>
      </c>
      <c r="AB10" s="327" t="s">
        <v>452</v>
      </c>
    </row>
    <row r="11" spans="1:28" s="14" customFormat="1" ht="69" customHeight="1">
      <c r="A11" s="399"/>
      <c r="B11" s="381"/>
      <c r="C11" s="45" t="s">
        <v>453</v>
      </c>
      <c r="D11" s="382"/>
      <c r="E11" s="45" t="s">
        <v>119</v>
      </c>
      <c r="F11" s="232" t="s">
        <v>454</v>
      </c>
      <c r="G11" s="45" t="s">
        <v>112</v>
      </c>
      <c r="H11" s="45" t="s">
        <v>113</v>
      </c>
      <c r="I11" s="45">
        <v>0</v>
      </c>
      <c r="J11" s="45">
        <v>0</v>
      </c>
      <c r="K11" s="45">
        <v>2</v>
      </c>
      <c r="L11" s="45">
        <v>2</v>
      </c>
      <c r="M11" s="45">
        <v>2</v>
      </c>
      <c r="N11" s="45">
        <v>2</v>
      </c>
      <c r="O11" s="45">
        <v>2</v>
      </c>
      <c r="P11" s="122">
        <v>2</v>
      </c>
      <c r="Q11" s="95">
        <v>0</v>
      </c>
      <c r="R11" s="96">
        <v>0.04</v>
      </c>
      <c r="S11" s="97">
        <f t="shared" si="0"/>
        <v>0</v>
      </c>
      <c r="T11" s="97">
        <f t="shared" si="1"/>
        <v>0</v>
      </c>
      <c r="U11" s="97">
        <f t="shared" si="2"/>
        <v>0</v>
      </c>
      <c r="V11" s="97">
        <f t="shared" si="3"/>
        <v>0</v>
      </c>
      <c r="W11" s="97">
        <f t="shared" si="4"/>
        <v>0</v>
      </c>
      <c r="X11" s="97">
        <f t="shared" si="5"/>
        <v>0</v>
      </c>
      <c r="Y11" s="97">
        <f t="shared" si="6"/>
        <v>0</v>
      </c>
      <c r="Z11" s="98">
        <f t="shared" si="7"/>
        <v>0</v>
      </c>
      <c r="AA11" s="299"/>
      <c r="AB11" s="327"/>
    </row>
    <row r="12" spans="1:28" s="14" customFormat="1" ht="87.75" customHeight="1">
      <c r="A12" s="399"/>
      <c r="B12" s="381"/>
      <c r="C12" s="45" t="s">
        <v>453</v>
      </c>
      <c r="D12" s="382"/>
      <c r="E12" s="45" t="s">
        <v>119</v>
      </c>
      <c r="F12" s="232" t="s">
        <v>455</v>
      </c>
      <c r="G12" s="45" t="s">
        <v>112</v>
      </c>
      <c r="H12" s="45" t="s">
        <v>113</v>
      </c>
      <c r="I12" s="45">
        <v>0</v>
      </c>
      <c r="J12" s="45">
        <v>0</v>
      </c>
      <c r="K12" s="45">
        <v>2</v>
      </c>
      <c r="L12" s="45">
        <v>2</v>
      </c>
      <c r="M12" s="45">
        <v>2</v>
      </c>
      <c r="N12" s="45">
        <v>2</v>
      </c>
      <c r="O12" s="45">
        <v>2</v>
      </c>
      <c r="P12" s="122">
        <v>2</v>
      </c>
      <c r="Q12" s="95">
        <v>0</v>
      </c>
      <c r="R12" s="96">
        <v>0.04</v>
      </c>
      <c r="S12" s="97">
        <f t="shared" si="0"/>
        <v>0</v>
      </c>
      <c r="T12" s="97">
        <f t="shared" si="1"/>
        <v>0</v>
      </c>
      <c r="U12" s="97">
        <f t="shared" si="2"/>
        <v>0</v>
      </c>
      <c r="V12" s="97">
        <f t="shared" si="3"/>
        <v>0</v>
      </c>
      <c r="W12" s="97">
        <f t="shared" si="4"/>
        <v>0</v>
      </c>
      <c r="X12" s="97">
        <f t="shared" si="5"/>
        <v>0</v>
      </c>
      <c r="Y12" s="97">
        <f t="shared" si="6"/>
        <v>0</v>
      </c>
      <c r="Z12" s="98">
        <f t="shared" si="7"/>
        <v>0</v>
      </c>
      <c r="AA12" s="299"/>
      <c r="AB12" s="327"/>
    </row>
    <row r="13" spans="1:28" s="14" customFormat="1" ht="72.75" customHeight="1">
      <c r="A13" s="399"/>
      <c r="B13" s="381"/>
      <c r="C13" s="45" t="s">
        <v>456</v>
      </c>
      <c r="D13" s="382"/>
      <c r="E13" s="45" t="s">
        <v>119</v>
      </c>
      <c r="F13" s="232" t="s">
        <v>457</v>
      </c>
      <c r="G13" s="45" t="s">
        <v>113</v>
      </c>
      <c r="H13" s="45" t="s">
        <v>113</v>
      </c>
      <c r="I13" s="45">
        <v>0</v>
      </c>
      <c r="J13" s="45">
        <v>1</v>
      </c>
      <c r="K13" s="45">
        <v>1</v>
      </c>
      <c r="L13" s="45">
        <v>1</v>
      </c>
      <c r="M13" s="45">
        <v>1</v>
      </c>
      <c r="N13" s="45">
        <v>1</v>
      </c>
      <c r="O13" s="45">
        <v>1</v>
      </c>
      <c r="P13" s="122">
        <v>1</v>
      </c>
      <c r="Q13" s="95">
        <v>0</v>
      </c>
      <c r="R13" s="96">
        <v>0.04</v>
      </c>
      <c r="S13" s="97">
        <f t="shared" si="0"/>
        <v>0</v>
      </c>
      <c r="T13" s="97">
        <f t="shared" si="1"/>
        <v>0</v>
      </c>
      <c r="U13" s="97">
        <f t="shared" si="2"/>
        <v>0</v>
      </c>
      <c r="V13" s="97">
        <f t="shared" si="3"/>
        <v>0</v>
      </c>
      <c r="W13" s="97">
        <f t="shared" si="4"/>
        <v>0</v>
      </c>
      <c r="X13" s="97">
        <f t="shared" si="5"/>
        <v>0</v>
      </c>
      <c r="Y13" s="97">
        <f t="shared" si="6"/>
        <v>0</v>
      </c>
      <c r="Z13" s="98">
        <f t="shared" si="7"/>
        <v>0</v>
      </c>
      <c r="AA13" s="299"/>
      <c r="AB13" s="327"/>
    </row>
    <row r="14" spans="1:28" s="14" customFormat="1" ht="124.5" customHeight="1">
      <c r="A14" s="399"/>
      <c r="B14" s="381"/>
      <c r="C14" s="45" t="s">
        <v>453</v>
      </c>
      <c r="D14" s="382"/>
      <c r="E14" s="45" t="s">
        <v>110</v>
      </c>
      <c r="F14" s="232" t="s">
        <v>458</v>
      </c>
      <c r="G14" s="45" t="s">
        <v>113</v>
      </c>
      <c r="H14" s="45" t="s">
        <v>113</v>
      </c>
      <c r="I14" s="45" t="s">
        <v>459</v>
      </c>
      <c r="J14" s="15">
        <v>0.05</v>
      </c>
      <c r="K14" s="15">
        <v>0.1</v>
      </c>
      <c r="L14" s="15">
        <v>0.2</v>
      </c>
      <c r="M14" s="15">
        <v>0.3</v>
      </c>
      <c r="N14" s="15">
        <v>0.4</v>
      </c>
      <c r="O14" s="15">
        <v>0.5</v>
      </c>
      <c r="P14" s="108">
        <v>0.6</v>
      </c>
      <c r="Q14" s="95">
        <v>0</v>
      </c>
      <c r="R14" s="96">
        <v>0.04</v>
      </c>
      <c r="S14" s="97">
        <f t="shared" si="0"/>
        <v>0</v>
      </c>
      <c r="T14" s="97">
        <f t="shared" si="1"/>
        <v>0</v>
      </c>
      <c r="U14" s="97">
        <f t="shared" si="2"/>
        <v>0</v>
      </c>
      <c r="V14" s="97">
        <f t="shared" si="3"/>
        <v>0</v>
      </c>
      <c r="W14" s="97">
        <f t="shared" si="4"/>
        <v>0</v>
      </c>
      <c r="X14" s="97">
        <f t="shared" si="5"/>
        <v>0</v>
      </c>
      <c r="Y14" s="97">
        <f t="shared" si="6"/>
        <v>0</v>
      </c>
      <c r="Z14" s="98">
        <f t="shared" si="7"/>
        <v>0</v>
      </c>
      <c r="AA14" s="299"/>
      <c r="AB14" s="327"/>
    </row>
    <row r="15" spans="1:28" s="14" customFormat="1" ht="87" customHeight="1">
      <c r="A15" s="399"/>
      <c r="B15" s="381"/>
      <c r="C15" s="45" t="s">
        <v>456</v>
      </c>
      <c r="D15" s="382"/>
      <c r="E15" s="45" t="s">
        <v>119</v>
      </c>
      <c r="F15" s="252" t="s">
        <v>460</v>
      </c>
      <c r="G15" s="45" t="s">
        <v>113</v>
      </c>
      <c r="H15" s="45" t="s">
        <v>113</v>
      </c>
      <c r="I15" s="45">
        <v>0</v>
      </c>
      <c r="J15" s="45">
        <v>0</v>
      </c>
      <c r="K15" s="45">
        <v>2</v>
      </c>
      <c r="L15" s="45">
        <v>0</v>
      </c>
      <c r="M15" s="45">
        <v>0</v>
      </c>
      <c r="N15" s="45">
        <v>0</v>
      </c>
      <c r="O15" s="45">
        <v>0</v>
      </c>
      <c r="P15" s="122">
        <v>0</v>
      </c>
      <c r="Q15" s="95">
        <v>0</v>
      </c>
      <c r="R15" s="96">
        <v>0.04</v>
      </c>
      <c r="S15" s="97">
        <f t="shared" si="0"/>
        <v>0</v>
      </c>
      <c r="T15" s="97">
        <f t="shared" si="1"/>
        <v>0</v>
      </c>
      <c r="U15" s="97">
        <f t="shared" si="2"/>
        <v>0</v>
      </c>
      <c r="V15" s="97">
        <f t="shared" si="3"/>
        <v>0</v>
      </c>
      <c r="W15" s="97">
        <f t="shared" si="4"/>
        <v>0</v>
      </c>
      <c r="X15" s="97">
        <f t="shared" si="5"/>
        <v>0</v>
      </c>
      <c r="Y15" s="97">
        <f t="shared" si="6"/>
        <v>0</v>
      </c>
      <c r="Z15" s="98">
        <f t="shared" si="7"/>
        <v>0</v>
      </c>
      <c r="AA15" s="299"/>
      <c r="AB15" s="327"/>
    </row>
    <row r="16" spans="1:28" s="14" customFormat="1" ht="78.95" customHeight="1">
      <c r="A16" s="399"/>
      <c r="B16" s="381"/>
      <c r="C16" s="45" t="s">
        <v>461</v>
      </c>
      <c r="D16" s="382"/>
      <c r="E16" s="45" t="s">
        <v>110</v>
      </c>
      <c r="F16" s="252" t="s">
        <v>462</v>
      </c>
      <c r="G16" s="45" t="s">
        <v>112</v>
      </c>
      <c r="H16" s="45" t="s">
        <v>113</v>
      </c>
      <c r="I16" s="45" t="s">
        <v>463</v>
      </c>
      <c r="J16" s="15">
        <v>0</v>
      </c>
      <c r="K16" s="15">
        <v>0.02</v>
      </c>
      <c r="L16" s="15">
        <v>0.04</v>
      </c>
      <c r="M16" s="15">
        <v>0.06</v>
      </c>
      <c r="N16" s="15">
        <v>0.08</v>
      </c>
      <c r="O16" s="15">
        <v>0.09</v>
      </c>
      <c r="P16" s="108">
        <v>0.1</v>
      </c>
      <c r="Q16" s="95">
        <v>0</v>
      </c>
      <c r="R16" s="96">
        <v>0.04</v>
      </c>
      <c r="S16" s="97">
        <f t="shared" si="0"/>
        <v>0</v>
      </c>
      <c r="T16" s="97">
        <f t="shared" si="1"/>
        <v>0</v>
      </c>
      <c r="U16" s="97">
        <f t="shared" si="2"/>
        <v>0</v>
      </c>
      <c r="V16" s="97">
        <f t="shared" si="3"/>
        <v>0</v>
      </c>
      <c r="W16" s="97">
        <f t="shared" si="4"/>
        <v>0</v>
      </c>
      <c r="X16" s="97">
        <f t="shared" si="5"/>
        <v>0</v>
      </c>
      <c r="Y16" s="97">
        <f t="shared" si="6"/>
        <v>0</v>
      </c>
      <c r="Z16" s="98">
        <f t="shared" si="7"/>
        <v>0</v>
      </c>
      <c r="AA16" s="299"/>
      <c r="AB16" s="327"/>
    </row>
    <row r="17" spans="1:28" s="14" customFormat="1" ht="114" customHeight="1">
      <c r="A17" s="399"/>
      <c r="B17" s="381"/>
      <c r="C17" s="45" t="s">
        <v>464</v>
      </c>
      <c r="D17" s="382"/>
      <c r="E17" s="45" t="s">
        <v>119</v>
      </c>
      <c r="F17" s="252" t="s">
        <v>465</v>
      </c>
      <c r="G17" s="45" t="s">
        <v>113</v>
      </c>
      <c r="H17" s="45" t="s">
        <v>113</v>
      </c>
      <c r="I17" s="45" t="s">
        <v>466</v>
      </c>
      <c r="J17" s="45">
        <v>0</v>
      </c>
      <c r="K17" s="45">
        <v>1</v>
      </c>
      <c r="L17" s="45">
        <v>0</v>
      </c>
      <c r="M17" s="45">
        <v>0</v>
      </c>
      <c r="N17" s="45">
        <v>0</v>
      </c>
      <c r="O17" s="45">
        <v>0</v>
      </c>
      <c r="P17" s="122">
        <v>0</v>
      </c>
      <c r="Q17" s="95">
        <v>0</v>
      </c>
      <c r="R17" s="96">
        <v>0.04</v>
      </c>
      <c r="S17" s="97">
        <f t="shared" si="0"/>
        <v>0</v>
      </c>
      <c r="T17" s="97">
        <f t="shared" si="1"/>
        <v>0</v>
      </c>
      <c r="U17" s="97">
        <f t="shared" si="2"/>
        <v>0</v>
      </c>
      <c r="V17" s="97">
        <f t="shared" si="3"/>
        <v>0</v>
      </c>
      <c r="W17" s="97">
        <f t="shared" si="4"/>
        <v>0</v>
      </c>
      <c r="X17" s="97">
        <f t="shared" si="5"/>
        <v>0</v>
      </c>
      <c r="Y17" s="97">
        <f t="shared" si="6"/>
        <v>0</v>
      </c>
      <c r="Z17" s="98">
        <f t="shared" si="7"/>
        <v>0</v>
      </c>
      <c r="AA17" s="299"/>
      <c r="AB17" s="327"/>
    </row>
    <row r="18" spans="1:28" s="14" customFormat="1" ht="109.5" customHeight="1">
      <c r="A18" s="399"/>
      <c r="B18" s="381"/>
      <c r="C18" s="45" t="s">
        <v>464</v>
      </c>
      <c r="D18" s="382"/>
      <c r="E18" s="45" t="s">
        <v>110</v>
      </c>
      <c r="F18" s="232" t="s">
        <v>467</v>
      </c>
      <c r="G18" s="45" t="s">
        <v>113</v>
      </c>
      <c r="H18" s="45" t="s">
        <v>113</v>
      </c>
      <c r="I18" s="45">
        <v>0</v>
      </c>
      <c r="J18" s="45">
        <v>0</v>
      </c>
      <c r="K18" s="15">
        <v>0.3</v>
      </c>
      <c r="L18" s="15">
        <v>0.4</v>
      </c>
      <c r="M18" s="15">
        <v>0.5</v>
      </c>
      <c r="N18" s="15">
        <v>0.6</v>
      </c>
      <c r="O18" s="15">
        <v>0.7</v>
      </c>
      <c r="P18" s="108">
        <v>0.8</v>
      </c>
      <c r="Q18" s="95">
        <v>0</v>
      </c>
      <c r="R18" s="96">
        <v>0.04</v>
      </c>
      <c r="S18" s="97">
        <f t="shared" si="0"/>
        <v>0</v>
      </c>
      <c r="T18" s="97">
        <f t="shared" si="1"/>
        <v>0</v>
      </c>
      <c r="U18" s="97">
        <f t="shared" si="2"/>
        <v>0</v>
      </c>
      <c r="V18" s="97">
        <f t="shared" si="3"/>
        <v>0</v>
      </c>
      <c r="W18" s="97">
        <f t="shared" si="4"/>
        <v>0</v>
      </c>
      <c r="X18" s="97">
        <f t="shared" si="5"/>
        <v>0</v>
      </c>
      <c r="Y18" s="97">
        <f t="shared" si="6"/>
        <v>0</v>
      </c>
      <c r="Z18" s="98">
        <f t="shared" si="7"/>
        <v>0</v>
      </c>
      <c r="AA18" s="299"/>
      <c r="AB18" s="327"/>
    </row>
    <row r="19" spans="1:28" s="14" customFormat="1" ht="123.75" customHeight="1">
      <c r="A19" s="399"/>
      <c r="B19" s="381"/>
      <c r="C19" s="45" t="s">
        <v>468</v>
      </c>
      <c r="D19" s="382"/>
      <c r="E19" s="45" t="s">
        <v>119</v>
      </c>
      <c r="F19" s="252" t="s">
        <v>469</v>
      </c>
      <c r="G19" s="45" t="s">
        <v>113</v>
      </c>
      <c r="H19" s="45" t="s">
        <v>113</v>
      </c>
      <c r="I19" s="45" t="s">
        <v>470</v>
      </c>
      <c r="J19" s="45">
        <v>1</v>
      </c>
      <c r="K19" s="45">
        <v>1</v>
      </c>
      <c r="L19" s="45">
        <v>1</v>
      </c>
      <c r="M19" s="45">
        <v>1</v>
      </c>
      <c r="N19" s="45">
        <v>1</v>
      </c>
      <c r="O19" s="45">
        <v>1</v>
      </c>
      <c r="P19" s="122">
        <v>1</v>
      </c>
      <c r="Q19" s="95">
        <v>10000000</v>
      </c>
      <c r="R19" s="96">
        <v>0.04</v>
      </c>
      <c r="S19" s="97">
        <f t="shared" si="0"/>
        <v>10000000</v>
      </c>
      <c r="T19" s="97">
        <f t="shared" si="1"/>
        <v>10400000</v>
      </c>
      <c r="U19" s="97">
        <f t="shared" si="2"/>
        <v>10816000</v>
      </c>
      <c r="V19" s="97">
        <f t="shared" si="3"/>
        <v>11248640</v>
      </c>
      <c r="W19" s="97">
        <f t="shared" si="4"/>
        <v>11698585.6</v>
      </c>
      <c r="X19" s="97">
        <f t="shared" si="5"/>
        <v>12166529.024</v>
      </c>
      <c r="Y19" s="97">
        <f t="shared" si="6"/>
        <v>12653190.18496</v>
      </c>
      <c r="Z19" s="98">
        <f t="shared" si="7"/>
        <v>78982944.808959991</v>
      </c>
      <c r="AA19" s="299"/>
      <c r="AB19" s="327"/>
    </row>
    <row r="20" spans="1:28" s="14" customFormat="1" ht="130.5" customHeight="1">
      <c r="A20" s="399"/>
      <c r="B20" s="381"/>
      <c r="C20" s="45" t="s">
        <v>468</v>
      </c>
      <c r="D20" s="382"/>
      <c r="E20" s="45" t="s">
        <v>110</v>
      </c>
      <c r="F20" s="252" t="s">
        <v>471</v>
      </c>
      <c r="G20" s="45" t="s">
        <v>113</v>
      </c>
      <c r="H20" s="45" t="s">
        <v>113</v>
      </c>
      <c r="I20" s="45" t="s">
        <v>469</v>
      </c>
      <c r="J20" s="15">
        <v>0.2</v>
      </c>
      <c r="K20" s="15">
        <v>0.3</v>
      </c>
      <c r="L20" s="15">
        <v>0.35</v>
      </c>
      <c r="M20" s="15">
        <v>0.4</v>
      </c>
      <c r="N20" s="15">
        <v>0.5</v>
      </c>
      <c r="O20" s="15">
        <v>0.55000000000000004</v>
      </c>
      <c r="P20" s="108">
        <v>0.6</v>
      </c>
      <c r="Q20" s="95">
        <v>0</v>
      </c>
      <c r="R20" s="96">
        <v>0.04</v>
      </c>
      <c r="S20" s="97">
        <f t="shared" si="0"/>
        <v>0</v>
      </c>
      <c r="T20" s="97">
        <f t="shared" si="1"/>
        <v>0</v>
      </c>
      <c r="U20" s="97">
        <f t="shared" si="2"/>
        <v>0</v>
      </c>
      <c r="V20" s="97">
        <f t="shared" si="3"/>
        <v>0</v>
      </c>
      <c r="W20" s="97">
        <f t="shared" si="4"/>
        <v>0</v>
      </c>
      <c r="X20" s="97">
        <f t="shared" si="5"/>
        <v>0</v>
      </c>
      <c r="Y20" s="97">
        <f t="shared" si="6"/>
        <v>0</v>
      </c>
      <c r="Z20" s="98">
        <f t="shared" si="7"/>
        <v>0</v>
      </c>
      <c r="AA20" s="299"/>
      <c r="AB20" s="332"/>
    </row>
    <row r="21" spans="1:28" s="14" customFormat="1" ht="90" customHeight="1">
      <c r="A21" s="399"/>
      <c r="B21" s="381" t="s">
        <v>472</v>
      </c>
      <c r="C21" s="45" t="s">
        <v>473</v>
      </c>
      <c r="D21" s="382" t="s">
        <v>293</v>
      </c>
      <c r="E21" s="45" t="s">
        <v>119</v>
      </c>
      <c r="F21" s="252" t="s">
        <v>474</v>
      </c>
      <c r="G21" s="45" t="s">
        <v>113</v>
      </c>
      <c r="H21" s="45" t="s">
        <v>113</v>
      </c>
      <c r="I21" s="45" t="s">
        <v>466</v>
      </c>
      <c r="J21" s="45">
        <v>2</v>
      </c>
      <c r="K21" s="45">
        <v>1</v>
      </c>
      <c r="L21" s="45">
        <v>2</v>
      </c>
      <c r="M21" s="45">
        <v>1</v>
      </c>
      <c r="N21" s="45">
        <v>2</v>
      </c>
      <c r="O21" s="45">
        <v>1</v>
      </c>
      <c r="P21" s="122">
        <v>2</v>
      </c>
      <c r="Q21" s="95">
        <v>0</v>
      </c>
      <c r="R21" s="96">
        <v>0.04</v>
      </c>
      <c r="S21" s="97">
        <f t="shared" si="0"/>
        <v>0</v>
      </c>
      <c r="T21" s="97">
        <f t="shared" si="1"/>
        <v>0</v>
      </c>
      <c r="U21" s="97">
        <f t="shared" si="2"/>
        <v>0</v>
      </c>
      <c r="V21" s="97">
        <f t="shared" si="3"/>
        <v>0</v>
      </c>
      <c r="W21" s="97">
        <f t="shared" si="4"/>
        <v>0</v>
      </c>
      <c r="X21" s="97">
        <f t="shared" si="5"/>
        <v>0</v>
      </c>
      <c r="Y21" s="97">
        <f t="shared" si="6"/>
        <v>0</v>
      </c>
      <c r="Z21" s="98">
        <f t="shared" si="7"/>
        <v>0</v>
      </c>
      <c r="AA21" s="299">
        <f>SUM(Z21:Z22)</f>
        <v>0</v>
      </c>
      <c r="AB21" s="333" t="s">
        <v>15</v>
      </c>
    </row>
    <row r="22" spans="1:28" s="14" customFormat="1" ht="81.75" customHeight="1" thickBot="1">
      <c r="A22" s="398"/>
      <c r="B22" s="383"/>
      <c r="C22" s="9" t="s">
        <v>473</v>
      </c>
      <c r="D22" s="379"/>
      <c r="E22" s="9" t="s">
        <v>119</v>
      </c>
      <c r="F22" s="253" t="s">
        <v>475</v>
      </c>
      <c r="G22" s="9" t="s">
        <v>113</v>
      </c>
      <c r="H22" s="9" t="s">
        <v>113</v>
      </c>
      <c r="I22" s="9" t="s">
        <v>476</v>
      </c>
      <c r="J22" s="53">
        <v>1</v>
      </c>
      <c r="K22" s="53">
        <v>1</v>
      </c>
      <c r="L22" s="53">
        <v>1</v>
      </c>
      <c r="M22" s="53">
        <v>1</v>
      </c>
      <c r="N22" s="53">
        <v>1</v>
      </c>
      <c r="O22" s="53">
        <v>1</v>
      </c>
      <c r="P22" s="142">
        <v>1</v>
      </c>
      <c r="Q22" s="99">
        <v>0</v>
      </c>
      <c r="R22" s="100">
        <v>0.04</v>
      </c>
      <c r="S22" s="215">
        <f t="shared" si="0"/>
        <v>0</v>
      </c>
      <c r="T22" s="215">
        <f t="shared" si="1"/>
        <v>0</v>
      </c>
      <c r="U22" s="215">
        <f t="shared" si="2"/>
        <v>0</v>
      </c>
      <c r="V22" s="215">
        <f t="shared" si="3"/>
        <v>0</v>
      </c>
      <c r="W22" s="215">
        <f t="shared" si="4"/>
        <v>0</v>
      </c>
      <c r="X22" s="215">
        <f t="shared" si="5"/>
        <v>0</v>
      </c>
      <c r="Y22" s="215">
        <f t="shared" si="6"/>
        <v>0</v>
      </c>
      <c r="Z22" s="101">
        <f t="shared" si="7"/>
        <v>0</v>
      </c>
      <c r="AA22" s="300"/>
      <c r="AB22" s="328"/>
    </row>
    <row r="23" spans="1:28" s="14" customFormat="1" ht="106.5" customHeight="1">
      <c r="A23" s="397" t="s">
        <v>477</v>
      </c>
      <c r="B23" s="386" t="s">
        <v>478</v>
      </c>
      <c r="C23" s="387" t="s">
        <v>479</v>
      </c>
      <c r="D23" s="387" t="s">
        <v>124</v>
      </c>
      <c r="E23" s="11" t="s">
        <v>174</v>
      </c>
      <c r="F23" s="246" t="s">
        <v>480</v>
      </c>
      <c r="G23" s="11" t="s">
        <v>113</v>
      </c>
      <c r="H23" s="11" t="s">
        <v>113</v>
      </c>
      <c r="I23" s="11">
        <v>136</v>
      </c>
      <c r="J23" s="222" t="s">
        <v>481</v>
      </c>
      <c r="K23" s="222" t="s">
        <v>482</v>
      </c>
      <c r="L23" s="222">
        <v>0.09</v>
      </c>
      <c r="M23" s="222">
        <v>0.11</v>
      </c>
      <c r="N23" s="222">
        <v>0.13</v>
      </c>
      <c r="O23" s="222">
        <v>0.15</v>
      </c>
      <c r="P23" s="223">
        <v>0.15</v>
      </c>
      <c r="Q23" s="92">
        <v>1428000000</v>
      </c>
      <c r="R23" s="93">
        <v>0.04</v>
      </c>
      <c r="S23" s="181">
        <f>((I23*0.05)+I23)*10000000</f>
        <v>1428000000</v>
      </c>
      <c r="T23" s="181">
        <f>((I23*0.07)+I23)*10000000+(0.04*Q23)</f>
        <v>1512320000</v>
      </c>
      <c r="U23" s="181">
        <f>((I23*0.09)+I23)*10000000+(0.04*T23)</f>
        <v>1542892800</v>
      </c>
      <c r="V23" s="181">
        <f>((I23*0.11)+I23)*10000000+(0.04*U23)</f>
        <v>1571315712</v>
      </c>
      <c r="W23" s="181">
        <f>((I23*0.13)+I23)*10000000+(0.04*V23)</f>
        <v>1599652628.48</v>
      </c>
      <c r="X23" s="181">
        <f>((I23*0.15)+I23)*10000000+(0.04*W23)</f>
        <v>1627986105.1392</v>
      </c>
      <c r="Y23" s="181">
        <f>((I23*0.15)+I23)*10000000+(0.04*X23)</f>
        <v>1629119444.2055681</v>
      </c>
      <c r="Z23" s="94">
        <f t="shared" si="7"/>
        <v>10911286689.824768</v>
      </c>
      <c r="AA23" s="416">
        <f>SUM(Z23:Z25)</f>
        <v>19201888179.994625</v>
      </c>
      <c r="AB23" s="327" t="s">
        <v>483</v>
      </c>
    </row>
    <row r="24" spans="1:28" s="14" customFormat="1" ht="106.5" customHeight="1">
      <c r="A24" s="399"/>
      <c r="B24" s="381"/>
      <c r="C24" s="382"/>
      <c r="D24" s="382"/>
      <c r="E24" s="45" t="s">
        <v>174</v>
      </c>
      <c r="F24" s="232" t="s">
        <v>484</v>
      </c>
      <c r="G24" s="45" t="s">
        <v>113</v>
      </c>
      <c r="H24" s="45" t="s">
        <v>113</v>
      </c>
      <c r="I24" s="45">
        <v>44</v>
      </c>
      <c r="J24" s="34">
        <v>0.01</v>
      </c>
      <c r="K24" s="34">
        <v>0.02</v>
      </c>
      <c r="L24" s="34">
        <v>0.03</v>
      </c>
      <c r="M24" s="34">
        <v>0.04</v>
      </c>
      <c r="N24" s="34">
        <v>0.05</v>
      </c>
      <c r="O24" s="34">
        <v>0.06</v>
      </c>
      <c r="P24" s="143">
        <v>7.0000000000000007E-2</v>
      </c>
      <c r="Q24" s="95">
        <v>1111000000</v>
      </c>
      <c r="R24" s="96">
        <v>0.04</v>
      </c>
      <c r="S24" s="97">
        <f>((I24*0.01+I24)*25000000)</f>
        <v>1111000000</v>
      </c>
      <c r="T24" s="97">
        <f>((I24*0.02)+I24)*25000000+(0.04*Q24)</f>
        <v>1166440000</v>
      </c>
      <c r="U24" s="97">
        <f>((I24*0.03)+I24)*25000000+(0.04*T24)</f>
        <v>1179657600</v>
      </c>
      <c r="V24" s="97">
        <f>((I24*0.04)+I24)*25000000+(0.04*U24)</f>
        <v>1191186304</v>
      </c>
      <c r="W24" s="97">
        <f>((I24*0.05)+I24)*25000000+(0.04*V24)</f>
        <v>1202647452.1600001</v>
      </c>
      <c r="X24" s="97">
        <f>((I24*0.06)+I24)*25000000+(0.04*W24)</f>
        <v>1214105898.0864</v>
      </c>
      <c r="Y24" s="97">
        <f>((I24*0.07)+I24)*25000000+(0.04*X24)</f>
        <v>1225564235.923456</v>
      </c>
      <c r="Z24" s="98">
        <f>SUM(S24:Y24)</f>
        <v>8290601490.1698561</v>
      </c>
      <c r="AA24" s="320"/>
      <c r="AB24" s="327"/>
    </row>
    <row r="25" spans="1:28" s="14" customFormat="1" ht="102.75" customHeight="1">
      <c r="A25" s="399"/>
      <c r="B25" s="381"/>
      <c r="C25" s="45" t="s">
        <v>444</v>
      </c>
      <c r="D25" s="382"/>
      <c r="E25" s="45" t="s">
        <v>119</v>
      </c>
      <c r="F25" s="232" t="s">
        <v>485</v>
      </c>
      <c r="G25" s="45" t="s">
        <v>112</v>
      </c>
      <c r="H25" s="31" t="s">
        <v>113</v>
      </c>
      <c r="I25" s="45">
        <v>0</v>
      </c>
      <c r="J25" s="45">
        <v>2</v>
      </c>
      <c r="K25" s="45">
        <v>2</v>
      </c>
      <c r="L25" s="45">
        <v>2</v>
      </c>
      <c r="M25" s="45">
        <v>2</v>
      </c>
      <c r="N25" s="45">
        <v>2</v>
      </c>
      <c r="O25" s="45">
        <v>2</v>
      </c>
      <c r="P25" s="122">
        <v>2</v>
      </c>
      <c r="Q25" s="95">
        <v>0</v>
      </c>
      <c r="R25" s="96">
        <v>0.04</v>
      </c>
      <c r="S25" s="97">
        <f t="shared" si="0"/>
        <v>0</v>
      </c>
      <c r="T25" s="97">
        <f>IF(K25&lt;&gt;0,(IF(S25&lt;&gt;0,(S25*$R$2),($Q25*$R$2))),0)</f>
        <v>0</v>
      </c>
      <c r="U25" s="97">
        <f>IF(L25&lt;&gt;0,(IF(T25&lt;&gt;0,(T25*$R$2),(($Q25*$R$2)*$R$2))),0)</f>
        <v>0</v>
      </c>
      <c r="V25" s="97">
        <f>IF(M25&lt;&gt;0,(IF(U25&lt;&gt;0,(U25*$R$2),(($Q25*$R$2)*$R$2*$R$2))),0)</f>
        <v>0</v>
      </c>
      <c r="W25" s="97">
        <f>IF(N25&lt;&gt;0,(IF(V25&lt;&gt;0,(V25*$R$2),(($Q25*$R$2)*$R$2*$R$2*$R$2))),0)</f>
        <v>0</v>
      </c>
      <c r="X25" s="97">
        <f>IF(O25&lt;&gt;0,(IF(W25&lt;&gt;0,(W25*$R$2),(($Q25*$R$2)*$R$2*$R$2*$R$2*$R$2))),0)</f>
        <v>0</v>
      </c>
      <c r="Y25" s="97">
        <f>IF(P25&lt;&gt;0,(IF(X25&lt;&gt;0,(X25*$R$2),(($Q25*$R$2)*$R$2*$R$2*$R$2*$R$2*$R$2))),0)</f>
        <v>0</v>
      </c>
      <c r="Z25" s="98">
        <f>SUM(S25:Y25)</f>
        <v>0</v>
      </c>
      <c r="AA25" s="320"/>
      <c r="AB25" s="332"/>
    </row>
    <row r="26" spans="1:28" s="14" customFormat="1" ht="48" customHeight="1">
      <c r="A26" s="399"/>
      <c r="B26" s="381" t="s">
        <v>486</v>
      </c>
      <c r="C26" s="382" t="s">
        <v>487</v>
      </c>
      <c r="D26" s="382" t="s">
        <v>124</v>
      </c>
      <c r="E26" s="45" t="s">
        <v>119</v>
      </c>
      <c r="F26" s="252" t="s">
        <v>488</v>
      </c>
      <c r="G26" s="45" t="s">
        <v>113</v>
      </c>
      <c r="H26" s="31" t="s">
        <v>113</v>
      </c>
      <c r="I26" s="45">
        <v>0</v>
      </c>
      <c r="J26" s="45">
        <v>0</v>
      </c>
      <c r="K26" s="45">
        <v>1</v>
      </c>
      <c r="L26" s="45">
        <v>0</v>
      </c>
      <c r="M26" s="45">
        <v>0</v>
      </c>
      <c r="N26" s="45">
        <v>0</v>
      </c>
      <c r="O26" s="45">
        <v>0</v>
      </c>
      <c r="P26" s="122">
        <v>0</v>
      </c>
      <c r="Q26" s="95">
        <v>200000000</v>
      </c>
      <c r="R26" s="96">
        <v>0.04</v>
      </c>
      <c r="S26" s="97">
        <f t="shared" si="0"/>
        <v>0</v>
      </c>
      <c r="T26" s="97">
        <f>IF(K26&lt;&gt;0,(IF(S26&lt;&gt;0,(S26*$R$2),($Q26*$R$2))),0)</f>
        <v>208000000</v>
      </c>
      <c r="U26" s="97">
        <f>IF(L26&lt;&gt;0,(IF(T26&lt;&gt;0,(T26*$R$2),(($Q26*$R$2)*$R$2))),0)</f>
        <v>0</v>
      </c>
      <c r="V26" s="97">
        <f>IF(M26&lt;&gt;0,(IF(U26&lt;&gt;0,(U26*$R$2),(($Q26*$R$2)*$R$2*$R$2))),0)</f>
        <v>0</v>
      </c>
      <c r="W26" s="97">
        <f>IF(N26&lt;&gt;0,(IF(V26&lt;&gt;0,(V26*$R$2),(($Q26*$R$2)*$R$2*$R$2*$R$2))),0)</f>
        <v>0</v>
      </c>
      <c r="X26" s="97">
        <f>IF(O26&lt;&gt;0,(IF(W26&lt;&gt;0,(W26*$R$2),(($Q26*$R$2)*$R$2*$R$2*$R$2*$R$2))),0)</f>
        <v>0</v>
      </c>
      <c r="Y26" s="97">
        <f>IF(P26&lt;&gt;0,(IF(X26&lt;&gt;0,(X26*$R$2),(($Q26*$R$2)*$R$2*$R$2*$R$2*$R$2*$R$2))),0)</f>
        <v>0</v>
      </c>
      <c r="Z26" s="98">
        <f>SUM(S26:Y26)</f>
        <v>208000000</v>
      </c>
      <c r="AA26" s="320">
        <f>SUM(Z26:Z27)</f>
        <v>208000000</v>
      </c>
      <c r="AB26" s="333" t="s">
        <v>489</v>
      </c>
    </row>
    <row r="27" spans="1:28" s="14" customFormat="1" ht="57.75" customHeight="1">
      <c r="A27" s="399"/>
      <c r="B27" s="381"/>
      <c r="C27" s="382"/>
      <c r="D27" s="382"/>
      <c r="E27" s="45" t="s">
        <v>174</v>
      </c>
      <c r="F27" s="252" t="s">
        <v>490</v>
      </c>
      <c r="G27" s="45" t="s">
        <v>113</v>
      </c>
      <c r="H27" s="31" t="s">
        <v>113</v>
      </c>
      <c r="I27" s="45">
        <v>0</v>
      </c>
      <c r="J27" s="45">
        <v>0</v>
      </c>
      <c r="K27" s="15">
        <v>0</v>
      </c>
      <c r="L27" s="15">
        <v>0.5</v>
      </c>
      <c r="M27" s="15">
        <v>1</v>
      </c>
      <c r="N27" s="15">
        <v>1</v>
      </c>
      <c r="O27" s="15">
        <v>1</v>
      </c>
      <c r="P27" s="108">
        <v>1</v>
      </c>
      <c r="Q27" s="95"/>
      <c r="R27" s="96">
        <v>0.04</v>
      </c>
      <c r="S27" s="97">
        <f t="shared" si="0"/>
        <v>0</v>
      </c>
      <c r="T27" s="97">
        <f>IF(K27&lt;&gt;0,(IF(S27&lt;&gt;0,(S27*$R$2),($Q27*$R$2))),0)</f>
        <v>0</v>
      </c>
      <c r="U27" s="97">
        <f>IF(L27&lt;&gt;0,(IF(T27&lt;&gt;0,(T27*$R$2),(($Q27*$R$2)*$R$2))),0)</f>
        <v>0</v>
      </c>
      <c r="V27" s="97">
        <f>IF(M27&lt;&gt;0,(IF(U27&lt;&gt;0,(U27*$R$2),(($Q27*$R$2)*$R$2*$R$2))),0)</f>
        <v>0</v>
      </c>
      <c r="W27" s="97">
        <f>IF(N27&lt;&gt;0,(IF(V27&lt;&gt;0,(V27*$R$2),(($Q27*$R$2)*$R$2*$R$2*$R$2))),0)</f>
        <v>0</v>
      </c>
      <c r="X27" s="97">
        <f>IF(O27&lt;&gt;0,(IF(W27&lt;&gt;0,(W27*$R$2),(($Q27*$R$2)*$R$2*$R$2*$R$2*$R$2))),0)</f>
        <v>0</v>
      </c>
      <c r="Y27" s="97">
        <f>IF(P27&lt;&gt;0,(IF(X27&lt;&gt;0,(X27*$R$2),(($Q27*$R$2)*$R$2*$R$2*$R$2*$R$2*$R$2))),0)</f>
        <v>0</v>
      </c>
      <c r="Z27" s="98">
        <f>SUM(S27:Y27)</f>
        <v>0</v>
      </c>
      <c r="AA27" s="320"/>
      <c r="AB27" s="332"/>
    </row>
    <row r="28" spans="1:28" s="14" customFormat="1" ht="91.5" customHeight="1" thickBot="1">
      <c r="A28" s="405"/>
      <c r="B28" s="247" t="s">
        <v>491</v>
      </c>
      <c r="C28" s="8" t="s">
        <v>444</v>
      </c>
      <c r="D28" s="8" t="s">
        <v>124</v>
      </c>
      <c r="E28" s="8" t="s">
        <v>119</v>
      </c>
      <c r="F28" s="247" t="s">
        <v>492</v>
      </c>
      <c r="G28" s="8" t="s">
        <v>113</v>
      </c>
      <c r="H28" s="43" t="s">
        <v>113</v>
      </c>
      <c r="I28" s="8">
        <v>1</v>
      </c>
      <c r="J28" s="8">
        <v>1</v>
      </c>
      <c r="K28" s="8">
        <v>2</v>
      </c>
      <c r="L28" s="8">
        <v>2</v>
      </c>
      <c r="M28" s="8">
        <v>2</v>
      </c>
      <c r="N28" s="8">
        <v>2</v>
      </c>
      <c r="O28" s="8">
        <v>2</v>
      </c>
      <c r="P28" s="125">
        <v>2</v>
      </c>
      <c r="Q28" s="130">
        <v>30000000</v>
      </c>
      <c r="R28" s="102">
        <v>0.04</v>
      </c>
      <c r="S28" s="103">
        <f t="shared" si="0"/>
        <v>30000000</v>
      </c>
      <c r="T28" s="103">
        <f>IF(K28&lt;&gt;0,(IF(S28&lt;&gt;0,(S28*$R$2),($Q28*$R$2))),0)</f>
        <v>31200000</v>
      </c>
      <c r="U28" s="103">
        <f>IF(L28&lt;&gt;0,(IF(T28&lt;&gt;0,(T28*$R$2),(($Q28*$R$2)*$R$2))),0)</f>
        <v>32448000</v>
      </c>
      <c r="V28" s="103">
        <f>IF(M28&lt;&gt;0,(IF(U28&lt;&gt;0,(U28*$R$2),(($Q28*$R$2)*$R$2*$R$2))),0)</f>
        <v>33745920</v>
      </c>
      <c r="W28" s="103">
        <f>IF(N28&lt;&gt;0,(IF(V28&lt;&gt;0,(V28*$R$2),(($Q28*$R$2)*$R$2*$R$2*$R$2))),0)</f>
        <v>35095756.800000004</v>
      </c>
      <c r="X28" s="103">
        <f>IF(O28&lt;&gt;0,(IF(W28&lt;&gt;0,(W28*$R$2),(($Q28*$R$2)*$R$2*$R$2*$R$2*$R$2))),0)</f>
        <v>36499587.072000004</v>
      </c>
      <c r="Y28" s="103">
        <f>IF(P28&lt;&gt;0,(IF(X28&lt;&gt;0,(X28*$R$2),(($Q28*$R$2)*$R$2*$R$2*$R$2*$R$2*$R$2))),0)</f>
        <v>37959570.554880008</v>
      </c>
      <c r="Z28" s="104">
        <f>SUM(S28:Y28)</f>
        <v>236948834.42688</v>
      </c>
      <c r="AA28" s="153">
        <f>Z28</f>
        <v>236948834.42688</v>
      </c>
      <c r="AB28" s="189" t="s">
        <v>9</v>
      </c>
    </row>
    <row r="29" spans="1:28">
      <c r="C29" s="54"/>
      <c r="E29" s="25"/>
    </row>
    <row r="30" spans="1:28">
      <c r="A30" s="396"/>
      <c r="B30" s="396"/>
      <c r="C30" s="396"/>
      <c r="D30" s="396"/>
      <c r="E30" s="396"/>
      <c r="F30" s="396"/>
      <c r="G30" s="396"/>
      <c r="H30" s="396"/>
      <c r="I30" s="396"/>
      <c r="J30" s="396"/>
      <c r="K30" s="396"/>
      <c r="L30" s="396"/>
      <c r="M30" s="396"/>
      <c r="N30" s="396"/>
      <c r="O30" s="396"/>
      <c r="P30" s="396"/>
      <c r="Q30"/>
    </row>
  </sheetData>
  <sheetProtection algorithmName="SHA-512" hashValue="cwdMyjVExgrPrfAnSJ1BpnEEx5/UfiZ9o3Cfd1jO0G/R6FKzOJbNe69/0p200YrwHip1IjVQ093srMYZ7b2YEg==" saltValue="srx2Bp8zAeQLQ2lJyjIySg==" spinCount="100000" sheet="1" objects="1" scenarios="1"/>
  <mergeCells count="44">
    <mergeCell ref="H3:H4"/>
    <mergeCell ref="I3:I4"/>
    <mergeCell ref="J3:P3"/>
    <mergeCell ref="A2:P2"/>
    <mergeCell ref="A1:P1"/>
    <mergeCell ref="F3:F4"/>
    <mergeCell ref="G3:G4"/>
    <mergeCell ref="E3:E4"/>
    <mergeCell ref="A5:A9"/>
    <mergeCell ref="B5:B9"/>
    <mergeCell ref="D5:D9"/>
    <mergeCell ref="A3:A4"/>
    <mergeCell ref="B3:B4"/>
    <mergeCell ref="C3:C4"/>
    <mergeCell ref="D3:D4"/>
    <mergeCell ref="A30:P30"/>
    <mergeCell ref="A10:A22"/>
    <mergeCell ref="B10:B20"/>
    <mergeCell ref="D10:D20"/>
    <mergeCell ref="B21:B22"/>
    <mergeCell ref="D21:D22"/>
    <mergeCell ref="A23:A28"/>
    <mergeCell ref="B23:B25"/>
    <mergeCell ref="C23:C24"/>
    <mergeCell ref="D23:D25"/>
    <mergeCell ref="B26:B27"/>
    <mergeCell ref="C26:C27"/>
    <mergeCell ref="D26:D27"/>
    <mergeCell ref="Q3:Q4"/>
    <mergeCell ref="R3:R4"/>
    <mergeCell ref="S3:Y3"/>
    <mergeCell ref="Z3:Z4"/>
    <mergeCell ref="AA3:AA4"/>
    <mergeCell ref="AB26:AB27"/>
    <mergeCell ref="AA26:AA27"/>
    <mergeCell ref="AB3:AB4"/>
    <mergeCell ref="AB5:AB9"/>
    <mergeCell ref="AA10:AA20"/>
    <mergeCell ref="AA21:AA22"/>
    <mergeCell ref="AA23:AA25"/>
    <mergeCell ref="AA5:AA9"/>
    <mergeCell ref="AB10:AB20"/>
    <mergeCell ref="AB21:AB22"/>
    <mergeCell ref="AB23:AB25"/>
  </mergeCells>
  <pageMargins left="0.7" right="0.7" top="0.75" bottom="0.75" header="0.3" footer="0.3"/>
  <pageSetup orientation="portrait" horizontalDpi="1200" verticalDpi="1200" r:id="rId1"/>
  <ignoredErrors>
    <ignoredError sqref="Z28 AA23:AA28 Z13 Z14 Z15 Z16 Z17 Z18 Z19 Z20 Z21 Z22 Z23 Z24 Z25 Z26 Z27 T27:Y27" evalError="1"/>
    <ignoredError sqref="J23:K23" numberStoredAsText="1"/>
    <ignoredError sqref="S23:Y23" 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Hoja2!$A$1:$A$3</xm:f>
          </x14:formula1>
          <xm:sqref>E5:E28</xm:sqref>
        </x14:dataValidation>
        <x14:dataValidation type="list" allowBlank="1" showInputMessage="1" showErrorMessage="1" xr:uid="{00000000-0002-0000-0800-000001000000}">
          <x14:formula1>
            <xm:f>Hoja2!$C$15:$C$17</xm:f>
          </x14:formula1>
          <xm:sqref>G5:G28</xm:sqref>
        </x14:dataValidation>
        <x14:dataValidation type="list" allowBlank="1" showInputMessage="1" showErrorMessage="1" xr:uid="{00000000-0002-0000-0800-000002000000}">
          <x14:formula1>
            <xm:f>Hoja2!$E$15:$E$26</xm:f>
          </x14:formula1>
          <xm:sqref>AB5:AB28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
  <cp:revision/>
  <dcterms:created xsi:type="dcterms:W3CDTF">2020-10-07T14:49:23Z</dcterms:created>
  <dcterms:modified xsi:type="dcterms:W3CDTF">2025-01-31T15:29:31Z</dcterms:modified>
  <cp:category/>
  <cp:contentStatus/>
</cp:coreProperties>
</file>